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ic_Komforts\2019\12-Salaspils siltums ofisi\AVK projekts\Aprēķini\"/>
    </mc:Choice>
  </mc:AlternateContent>
  <xr:revisionPtr revIDLastSave="0" documentId="13_ncr:1_{F531B67C-3214-4F7E-83E6-5FEAC63B044C}" xr6:coauthVersionLast="41" xr6:coauthVersionMax="41" xr10:uidLastSave="{00000000-0000-0000-0000-000000000000}"/>
  <bookViews>
    <workbookView xWindow="28680" yWindow="-120" windowWidth="29040" windowHeight="17640" tabRatio="425" xr2:uid="{00000000-000D-0000-FFFF-FFFF00000000}"/>
  </bookViews>
  <sheets>
    <sheet name="Apreķins" sheetId="5" r:id="rId1"/>
    <sheet name="Konstantes" sheetId="6" r:id="rId2"/>
  </sheets>
  <definedNames>
    <definedName name="Excel_BuiltIn__FilterDatabase" localSheetId="0">Apreķins!$D$1:$D$14</definedName>
    <definedName name="Excel_BuiltIn__FilterDatabase">#REF!</definedName>
    <definedName name="Excel_BuiltIn__FilterDatabase_1">#REF!</definedName>
    <definedName name="Excel_BuiltIn__FilterDatabase_4">#REF!</definedName>
    <definedName name="Excel_BuiltIn__FilterDatabase_4_1">#REF!</definedName>
    <definedName name="Excel_BuiltIn_Print_Titles_4">#REF!</definedName>
    <definedName name="Excel_BuiltIn_Print_Titles_4_1">#REF!</definedName>
    <definedName name="_xlnm.Print_Area" localSheetId="0">Apreķins!$A$1:$R$14</definedName>
  </definedNames>
  <calcPr calcId="181029"/>
</workbook>
</file>

<file path=xl/calcChain.xml><?xml version="1.0" encoding="utf-8"?>
<calcChain xmlns="http://schemas.openxmlformats.org/spreadsheetml/2006/main">
  <c r="R52" i="6" l="1"/>
  <c r="P52" i="6"/>
  <c r="N52" i="6"/>
  <c r="S34" i="6"/>
  <c r="W52" i="6" l="1"/>
  <c r="M7" i="5"/>
  <c r="N7" i="5" s="1"/>
  <c r="L7" i="5"/>
  <c r="K7" i="5"/>
  <c r="J7" i="5"/>
  <c r="I7" i="5"/>
  <c r="M6" i="5"/>
  <c r="N6" i="5" s="1"/>
  <c r="L6" i="5"/>
  <c r="K6" i="5"/>
  <c r="J6" i="5"/>
  <c r="I6" i="5"/>
  <c r="O7" i="5" l="1"/>
  <c r="O6" i="5"/>
  <c r="W46" i="6" l="1"/>
  <c r="W40" i="6"/>
  <c r="T40" i="6"/>
  <c r="V40" i="6"/>
  <c r="V46" i="6"/>
  <c r="T46" i="6"/>
  <c r="R46" i="6"/>
  <c r="P46" i="6"/>
  <c r="N46" i="6"/>
  <c r="R40" i="6"/>
  <c r="P40" i="6"/>
  <c r="N40" i="6"/>
  <c r="R34" i="6" l="1"/>
  <c r="P34" i="6"/>
  <c r="N34" i="6"/>
  <c r="T28" i="6"/>
  <c r="R28" i="6"/>
  <c r="P28" i="6"/>
  <c r="U28" i="6" s="1"/>
  <c r="N28" i="6"/>
  <c r="H10" i="5"/>
  <c r="H8" i="5"/>
  <c r="H11" i="5"/>
  <c r="H12" i="5"/>
  <c r="H13" i="5"/>
  <c r="H18" i="5"/>
  <c r="H17" i="5"/>
  <c r="I8" i="5"/>
  <c r="I17" i="5"/>
  <c r="J17" i="5"/>
  <c r="K17" i="5"/>
  <c r="L17" i="5"/>
  <c r="M17" i="5"/>
  <c r="I18" i="5"/>
  <c r="J18" i="5"/>
  <c r="K18" i="5"/>
  <c r="L18" i="5"/>
  <c r="M18" i="5"/>
  <c r="H19" i="5"/>
  <c r="I19" i="5"/>
  <c r="J19" i="5"/>
  <c r="K19" i="5"/>
  <c r="L19" i="5"/>
  <c r="M19" i="5"/>
  <c r="H20" i="5"/>
  <c r="I20" i="5"/>
  <c r="J20" i="5"/>
  <c r="K20" i="5"/>
  <c r="L20" i="5"/>
  <c r="M20" i="5"/>
  <c r="I13" i="5"/>
  <c r="J13" i="5"/>
  <c r="K13" i="5"/>
  <c r="L13" i="5"/>
  <c r="M13" i="5"/>
  <c r="H14" i="5"/>
  <c r="I14" i="5"/>
  <c r="J14" i="5"/>
  <c r="K14" i="5"/>
  <c r="L14" i="5"/>
  <c r="M14" i="5"/>
  <c r="M16" i="5"/>
  <c r="L16" i="5"/>
  <c r="K16" i="5"/>
  <c r="J16" i="5"/>
  <c r="I16" i="5"/>
  <c r="N20" i="5" l="1"/>
  <c r="O20" i="5" s="1"/>
  <c r="N17" i="5"/>
  <c r="O17" i="5" s="1"/>
  <c r="N19" i="5"/>
  <c r="O19" i="5" s="1"/>
  <c r="N18" i="5"/>
  <c r="O18" i="5" s="1"/>
  <c r="N14" i="5"/>
  <c r="O14" i="5" s="1"/>
  <c r="N13" i="5"/>
  <c r="N16" i="5"/>
  <c r="O16" i="5" s="1"/>
  <c r="K8" i="5"/>
  <c r="K9" i="5"/>
  <c r="K10" i="5"/>
  <c r="K11" i="5"/>
  <c r="K12" i="5"/>
  <c r="K5" i="5"/>
  <c r="J9" i="5"/>
  <c r="J10" i="5"/>
  <c r="J11" i="5"/>
  <c r="J12" i="5"/>
  <c r="J8" i="5"/>
  <c r="J5" i="5"/>
  <c r="I9" i="5"/>
  <c r="I10" i="5"/>
  <c r="I11" i="5"/>
  <c r="I12" i="5"/>
  <c r="I5" i="5"/>
  <c r="P20" i="5" l="1"/>
  <c r="Q20" i="5" s="1"/>
  <c r="O13" i="5"/>
  <c r="H9" i="5"/>
  <c r="M12" i="5"/>
  <c r="L12" i="5"/>
  <c r="M11" i="5"/>
  <c r="L11" i="5"/>
  <c r="R20" i="5" l="1"/>
  <c r="Q23" i="5"/>
  <c r="N12" i="5"/>
  <c r="N11" i="5"/>
  <c r="S17" i="6" l="1"/>
  <c r="O17" i="6"/>
  <c r="M17" i="6"/>
  <c r="T16" i="6"/>
  <c r="R16" i="6"/>
  <c r="P16" i="6"/>
  <c r="N16" i="6"/>
  <c r="V16" i="6" s="1"/>
  <c r="F15" i="6"/>
  <c r="H15" i="6" s="1"/>
  <c r="C15" i="6"/>
  <c r="B15" i="6"/>
  <c r="F14" i="6"/>
  <c r="H14" i="6" s="1"/>
  <c r="F13" i="6"/>
  <c r="H13" i="6" s="1"/>
  <c r="F12" i="6"/>
  <c r="H12" i="6" s="1"/>
  <c r="C12" i="6"/>
  <c r="B12" i="6"/>
  <c r="H11" i="6"/>
  <c r="F11" i="6"/>
  <c r="P10" i="6"/>
  <c r="N10" i="6"/>
  <c r="Q10" i="6" s="1"/>
  <c r="F10" i="6"/>
  <c r="C14" i="6" s="1"/>
  <c r="C10" i="6"/>
  <c r="B10" i="6"/>
  <c r="Q7" i="6"/>
  <c r="R6" i="6" s="1"/>
  <c r="O7" i="6"/>
  <c r="V6" i="6"/>
  <c r="P6" i="6"/>
  <c r="N6" i="6"/>
  <c r="G6" i="6"/>
  <c r="E6" i="6"/>
  <c r="C6" i="6"/>
  <c r="H6" i="6" s="1"/>
  <c r="U3" i="6"/>
  <c r="V2" i="6" s="1"/>
  <c r="O3" i="6"/>
  <c r="P2" i="6" s="1"/>
  <c r="M3" i="6"/>
  <c r="B3" i="6"/>
  <c r="R2" i="6"/>
  <c r="N2" i="6"/>
  <c r="X2" i="6" s="1"/>
  <c r="G2" i="6"/>
  <c r="E2" i="6"/>
  <c r="C2" i="6"/>
  <c r="H2" i="6" s="1"/>
  <c r="O12" i="5"/>
  <c r="O11" i="5"/>
  <c r="M10" i="5"/>
  <c r="L10" i="5"/>
  <c r="M9" i="5"/>
  <c r="L9" i="5"/>
  <c r="M8" i="5"/>
  <c r="L8" i="5"/>
  <c r="S5" i="5"/>
  <c r="M5" i="5"/>
  <c r="L5" i="5"/>
  <c r="N9" i="5" l="1"/>
  <c r="O9" i="5" s="1"/>
  <c r="N10" i="5"/>
  <c r="O10" i="5" s="1"/>
  <c r="N8" i="5"/>
  <c r="O8" i="5" s="1"/>
  <c r="X6" i="6"/>
  <c r="H10" i="6"/>
  <c r="B13" i="6"/>
  <c r="C13" i="6"/>
  <c r="B11" i="6"/>
  <c r="B14" i="6"/>
  <c r="C11" i="6"/>
  <c r="N5" i="5"/>
  <c r="O5" i="5" s="1"/>
  <c r="P14" i="5" l="1"/>
  <c r="Q14" i="5" s="1"/>
  <c r="R14" i="5" s="1"/>
  <c r="T232" i="5" l="1"/>
  <c r="U232" i="5" s="1"/>
</calcChain>
</file>

<file path=xl/sharedStrings.xml><?xml version="1.0" encoding="utf-8"?>
<sst xmlns="http://schemas.openxmlformats.org/spreadsheetml/2006/main" count="236" uniqueCount="113">
  <si>
    <t>Telpas Nr.</t>
  </si>
  <si>
    <t>Telpas Nosaukums</t>
  </si>
  <si>
    <t>Norobežojošo konstrukciju nosaukums</t>
  </si>
  <si>
    <t>Debespuse</t>
  </si>
  <si>
    <t>Platums</t>
  </si>
  <si>
    <t>Augstums</t>
  </si>
  <si>
    <t>Laukums</t>
  </si>
  <si>
    <t>K</t>
  </si>
  <si>
    <t>Atkarībā debespusēm</t>
  </si>
  <si>
    <t>Atkarībā no vēja stipruma</t>
  </si>
  <si>
    <t>Pārējie</t>
  </si>
  <si>
    <t>Kopā</t>
  </si>
  <si>
    <t>Siltuma zudumi</t>
  </si>
  <si>
    <t>Siltuma zudumi telpā</t>
  </si>
  <si>
    <t>m</t>
  </si>
  <si>
    <t>n</t>
  </si>
  <si>
    <t>1+n(SUM)</t>
  </si>
  <si>
    <t>W</t>
  </si>
  <si>
    <t>Z</t>
  </si>
  <si>
    <t>R</t>
  </si>
  <si>
    <t>A</t>
  </si>
  <si>
    <t>D</t>
  </si>
  <si>
    <t>DR</t>
  </si>
  <si>
    <t>1. stāvs</t>
  </si>
  <si>
    <t>Ukop</t>
  </si>
  <si>
    <t>Jumta</t>
  </si>
  <si>
    <t>biezums</t>
  </si>
  <si>
    <t>landa</t>
  </si>
  <si>
    <t>Debespuses konstantes:</t>
  </si>
  <si>
    <t>DA</t>
  </si>
  <si>
    <t>ZA</t>
  </si>
  <si>
    <t>ZR</t>
  </si>
  <si>
    <t>Telpu temp</t>
  </si>
  <si>
    <t>Āragaisa apr temp</t>
  </si>
  <si>
    <t>Grunts temp.</t>
  </si>
  <si>
    <t>Apkures grādu dienas</t>
  </si>
  <si>
    <t>Enerģijas cena:</t>
  </si>
  <si>
    <t>Siltumenerģijas cena</t>
  </si>
  <si>
    <t>sant/kWh</t>
  </si>
  <si>
    <t>dz.bet</t>
  </si>
  <si>
    <t>Īpatnējie siltuma zudumi</t>
  </si>
  <si>
    <t>Grīda pagrab</t>
  </si>
  <si>
    <t>ģipškartons</t>
  </si>
  <si>
    <t>Sarkanie lodes kiegeli</t>
  </si>
  <si>
    <t>2.stava</t>
  </si>
  <si>
    <t>Maksimālā</t>
  </si>
  <si>
    <t>Normatīvā</t>
  </si>
  <si>
    <t>k faktors</t>
  </si>
  <si>
    <t>Vidējā āra T</t>
  </si>
  <si>
    <t>Reālā normat.</t>
  </si>
  <si>
    <t>Reālā max.</t>
  </si>
  <si>
    <r>
      <t>Telpas t</t>
    </r>
    <r>
      <rPr>
        <vertAlign val="superscript"/>
        <sz val="12"/>
        <rFont val="Times New Roman"/>
        <family val="1"/>
        <charset val="186"/>
      </rPr>
      <t>o</t>
    </r>
    <r>
      <rPr>
        <sz val="12"/>
        <rFont val="Times New Roman"/>
        <family val="1"/>
        <charset val="186"/>
      </rPr>
      <t>C</t>
    </r>
  </si>
  <si>
    <r>
      <t>t</t>
    </r>
    <r>
      <rPr>
        <vertAlign val="subscript"/>
        <sz val="12"/>
        <rFont val="Times New Roman"/>
        <family val="1"/>
        <charset val="186"/>
      </rPr>
      <t xml:space="preserve">T </t>
    </r>
    <r>
      <rPr>
        <sz val="12"/>
        <rFont val="Times New Roman"/>
        <family val="1"/>
        <charset val="186"/>
      </rPr>
      <t>- t</t>
    </r>
    <r>
      <rPr>
        <vertAlign val="subscript"/>
        <sz val="12"/>
        <rFont val="Times New Roman"/>
        <family val="1"/>
        <charset val="186"/>
      </rPr>
      <t>A</t>
    </r>
  </si>
  <si>
    <r>
      <rPr>
        <vertAlign val="superscript"/>
        <sz val="12"/>
        <rFont val="Times New Roman"/>
        <family val="1"/>
        <charset val="186"/>
      </rPr>
      <t>o</t>
    </r>
    <r>
      <rPr>
        <sz val="12"/>
        <rFont val="Times New Roman"/>
        <family val="1"/>
        <charset val="186"/>
      </rPr>
      <t>C</t>
    </r>
  </si>
  <si>
    <r>
      <t>m</t>
    </r>
    <r>
      <rPr>
        <vertAlign val="superscript"/>
        <sz val="12"/>
        <rFont val="Times New Roman"/>
        <family val="1"/>
        <charset val="186"/>
      </rPr>
      <t>2</t>
    </r>
  </si>
  <si>
    <r>
      <t>W/m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st</t>
    </r>
    <r>
      <rPr>
        <vertAlign val="superscript"/>
        <sz val="12"/>
        <rFont val="Times New Roman"/>
        <family val="1"/>
        <charset val="186"/>
      </rPr>
      <t>o</t>
    </r>
    <r>
      <rPr>
        <sz val="12"/>
        <rFont val="Times New Roman"/>
        <family val="1"/>
        <charset val="186"/>
      </rPr>
      <t>C</t>
    </r>
  </si>
  <si>
    <r>
      <t>t</t>
    </r>
    <r>
      <rPr>
        <vertAlign val="superscript"/>
        <sz val="12"/>
        <rFont val="Times New Roman"/>
        <family val="1"/>
        <charset val="186"/>
      </rPr>
      <t>o</t>
    </r>
    <r>
      <rPr>
        <sz val="12"/>
        <rFont val="Times New Roman"/>
        <family val="1"/>
        <charset val="186"/>
      </rPr>
      <t>C</t>
    </r>
  </si>
  <si>
    <r>
      <t>W/m</t>
    </r>
    <r>
      <rPr>
        <vertAlign val="superscript"/>
        <sz val="12"/>
        <rFont val="Times New Roman"/>
        <family val="1"/>
        <charset val="186"/>
      </rPr>
      <t>2</t>
    </r>
  </si>
  <si>
    <t>Rezerve 15 %</t>
  </si>
  <si>
    <t>Rīga</t>
  </si>
  <si>
    <t>iekseja</t>
  </si>
  <si>
    <t>JUMTS1</t>
  </si>
  <si>
    <t>Akmens vate</t>
  </si>
  <si>
    <t>Dēļi</t>
  </si>
  <si>
    <t>Siena SAM-1</t>
  </si>
  <si>
    <t>Cementa kaļķa</t>
  </si>
  <si>
    <t>Finnfoloam F300</t>
  </si>
  <si>
    <t>Finfolam F 300 FL</t>
  </si>
  <si>
    <t>Estrix betons</t>
  </si>
  <si>
    <t>Deļi 35mm</t>
  </si>
  <si>
    <t>Isover KL 35</t>
  </si>
  <si>
    <t>Isolver KL 35</t>
  </si>
  <si>
    <t>425 kg/m3 Bauroc clasic</t>
  </si>
  <si>
    <t>PARSEGUMS 2.STAVA</t>
  </si>
  <si>
    <t>Jumts</t>
  </si>
  <si>
    <t>Grīda uz grunts</t>
  </si>
  <si>
    <t>Konstrukcija</t>
  </si>
  <si>
    <t>Ārsienas</t>
  </si>
  <si>
    <t>Ārsienas guļbūvēs</t>
  </si>
  <si>
    <t>Logi, stikla durvis</t>
  </si>
  <si>
    <t>Ārdurvis</t>
  </si>
  <si>
    <t>JUMTS3</t>
  </si>
  <si>
    <t>logi</t>
  </si>
  <si>
    <t>ārsiena</t>
  </si>
  <si>
    <t>grīda uz grunts</t>
  </si>
  <si>
    <t>2.st.p</t>
  </si>
  <si>
    <t>2. stāva pārsegums</t>
  </si>
  <si>
    <t>Grīda bez grunts</t>
  </si>
  <si>
    <t>3. stāvs</t>
  </si>
  <si>
    <t>1.st.p</t>
  </si>
  <si>
    <t>S2</t>
  </si>
  <si>
    <t>L3</t>
  </si>
  <si>
    <t>L2</t>
  </si>
  <si>
    <t>Minerālvate</t>
  </si>
  <si>
    <t>Ķieģeļi</t>
  </si>
  <si>
    <t>Paroc FAS3</t>
  </si>
  <si>
    <t>s1,s2</t>
  </si>
  <si>
    <t>G-1</t>
  </si>
  <si>
    <t>Betons</t>
  </si>
  <si>
    <t>Paroc XES30wj</t>
  </si>
  <si>
    <t>G-2</t>
  </si>
  <si>
    <t>G-3</t>
  </si>
  <si>
    <t>Smiltis</t>
  </si>
  <si>
    <t>G1</t>
  </si>
  <si>
    <t>G2</t>
  </si>
  <si>
    <t>G3</t>
  </si>
  <si>
    <t>jumts</t>
  </si>
  <si>
    <t>Paroc rob 60</t>
  </si>
  <si>
    <t>Ros 30g</t>
  </si>
  <si>
    <t>Dzelzsbetons</t>
  </si>
  <si>
    <t>DL</t>
  </si>
  <si>
    <t>ĀS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</si>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</sst>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0"/>
      <name val="Arial"/>
      <family val="2"/>
      <charset val="186"/>
    </font>
    <font>
      <sz val="12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vertAlign val="sub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414142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2" fontId="3" fillId="0" borderId="7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/>
    </xf>
    <xf numFmtId="2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2" fontId="1" fillId="3" borderId="8" xfId="0" applyNumberFormat="1" applyFon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6" fillId="0" borderId="31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2" fontId="1" fillId="0" borderId="33" xfId="0" applyNumberFormat="1" applyFont="1" applyBorder="1" applyAlignment="1">
      <alignment horizontal="center" vertical="center" wrapText="1"/>
    </xf>
    <xf numFmtId="2" fontId="1" fillId="3" borderId="31" xfId="0" applyNumberFormat="1" applyFont="1" applyFill="1" applyBorder="1" applyAlignment="1">
      <alignment horizontal="center" vertical="center" wrapText="1"/>
    </xf>
    <xf numFmtId="2" fontId="3" fillId="0" borderId="31" xfId="0" applyNumberFormat="1" applyFont="1" applyBorder="1" applyAlignment="1">
      <alignment horizontal="center" vertical="center" wrapText="1"/>
    </xf>
    <xf numFmtId="2" fontId="1" fillId="0" borderId="39" xfId="0" applyNumberFormat="1" applyFont="1" applyBorder="1" applyAlignment="1">
      <alignment horizontal="center" vertical="center"/>
    </xf>
    <xf numFmtId="2" fontId="1" fillId="0" borderId="41" xfId="0" applyNumberFormat="1" applyFont="1" applyBorder="1" applyAlignment="1">
      <alignment horizontal="center" vertical="center" textRotation="90" wrapText="1"/>
    </xf>
    <xf numFmtId="2" fontId="1" fillId="3" borderId="41" xfId="0" applyNumberFormat="1" applyFont="1" applyFill="1" applyBorder="1" applyAlignment="1">
      <alignment horizontal="center" vertical="center" textRotation="90" wrapText="1"/>
    </xf>
    <xf numFmtId="2" fontId="1" fillId="0" borderId="42" xfId="0" applyNumberFormat="1" applyFont="1" applyBorder="1" applyAlignment="1">
      <alignment horizontal="center" vertical="center" textRotation="90" wrapText="1"/>
    </xf>
    <xf numFmtId="2" fontId="3" fillId="0" borderId="41" xfId="0" applyNumberFormat="1" applyFont="1" applyBorder="1" applyAlignment="1">
      <alignment horizontal="center" vertical="center" wrapText="1"/>
    </xf>
    <xf numFmtId="2" fontId="1" fillId="0" borderId="41" xfId="0" applyNumberFormat="1" applyFont="1" applyBorder="1" applyAlignment="1">
      <alignment horizontal="center" vertical="center" wrapText="1"/>
    </xf>
    <xf numFmtId="2" fontId="1" fillId="0" borderId="40" xfId="0" applyNumberFormat="1" applyFont="1" applyBorder="1" applyAlignment="1">
      <alignment horizontal="center" vertical="center" wrapText="1"/>
    </xf>
    <xf numFmtId="2" fontId="1" fillId="0" borderId="41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3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23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46" xfId="0" applyNumberFormat="1" applyFont="1" applyBorder="1" applyAlignment="1">
      <alignment horizontal="center" vertical="center" wrapText="1"/>
    </xf>
    <xf numFmtId="0" fontId="9" fillId="0" borderId="8" xfId="0" applyFont="1" applyBorder="1"/>
    <xf numFmtId="164" fontId="8" fillId="0" borderId="49" xfId="0" applyNumberFormat="1" applyFont="1" applyBorder="1" applyAlignment="1">
      <alignment horizontal="center" vertical="center" wrapText="1"/>
    </xf>
    <xf numFmtId="0" fontId="9" fillId="0" borderId="0" xfId="0" applyFont="1"/>
    <xf numFmtId="164" fontId="9" fillId="0" borderId="8" xfId="0" applyNumberFormat="1" applyFont="1" applyBorder="1"/>
    <xf numFmtId="164" fontId="9" fillId="3" borderId="8" xfId="0" applyNumberFormat="1" applyFont="1" applyFill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0" borderId="3" xfId="0" applyNumberFormat="1" applyFont="1" applyBorder="1"/>
    <xf numFmtId="164" fontId="9" fillId="0" borderId="4" xfId="0" applyNumberFormat="1" applyFont="1" applyBorder="1" applyAlignment="1">
      <alignment horizontal="center"/>
    </xf>
    <xf numFmtId="164" fontId="9" fillId="0" borderId="47" xfId="0" applyNumberFormat="1" applyFont="1" applyBorder="1" applyAlignment="1">
      <alignment horizontal="center"/>
    </xf>
    <xf numFmtId="164" fontId="9" fillId="0" borderId="5" xfId="0" applyNumberFormat="1" applyFont="1" applyBorder="1"/>
    <xf numFmtId="164" fontId="9" fillId="0" borderId="6" xfId="0" applyNumberFormat="1" applyFont="1" applyBorder="1" applyAlignment="1">
      <alignment horizontal="center"/>
    </xf>
    <xf numFmtId="164" fontId="9" fillId="0" borderId="48" xfId="0" applyNumberFormat="1" applyFont="1" applyBorder="1" applyAlignment="1">
      <alignment horizontal="center"/>
    </xf>
    <xf numFmtId="0" fontId="10" fillId="0" borderId="8" xfId="0" applyFont="1" applyBorder="1"/>
    <xf numFmtId="0" fontId="7" fillId="3" borderId="8" xfId="0" applyFont="1" applyFill="1" applyBorder="1" applyAlignment="1">
      <alignment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164" fontId="9" fillId="0" borderId="0" xfId="0" applyNumberFormat="1" applyFont="1"/>
    <xf numFmtId="164" fontId="8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 wrapText="1"/>
    </xf>
    <xf numFmtId="164" fontId="8" fillId="3" borderId="7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8" fillId="0" borderId="22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/>
    <xf numFmtId="164" fontId="9" fillId="0" borderId="11" xfId="0" applyNumberFormat="1" applyFont="1" applyBorder="1"/>
    <xf numFmtId="164" fontId="9" fillId="3" borderId="9" xfId="0" applyNumberFormat="1" applyFont="1" applyFill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164" fontId="10" fillId="5" borderId="0" xfId="0" applyNumberFormat="1" applyFont="1" applyFill="1" applyAlignment="1">
      <alignment horizont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0" xfId="0" applyNumberFormat="1" applyFont="1"/>
    <xf numFmtId="0" fontId="9" fillId="0" borderId="0" xfId="0" applyFont="1" applyAlignment="1">
      <alignment horizontal="left" vertical="center"/>
    </xf>
    <xf numFmtId="164" fontId="9" fillId="0" borderId="13" xfId="0" applyNumberFormat="1" applyFont="1" applyBorder="1"/>
    <xf numFmtId="0" fontId="9" fillId="0" borderId="0" xfId="0" applyFont="1" applyAlignment="1">
      <alignment horizontal="left"/>
    </xf>
    <xf numFmtId="0" fontId="9" fillId="0" borderId="13" xfId="0" applyFont="1" applyBorder="1"/>
    <xf numFmtId="164" fontId="7" fillId="0" borderId="13" xfId="0" applyNumberFormat="1" applyFont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/>
    </xf>
    <xf numFmtId="0" fontId="9" fillId="3" borderId="0" xfId="0" applyFont="1" applyFill="1"/>
    <xf numFmtId="0" fontId="9" fillId="0" borderId="0" xfId="0" applyFont="1" applyAlignment="1">
      <alignment vertical="center"/>
    </xf>
    <xf numFmtId="2" fontId="9" fillId="0" borderId="9" xfId="0" applyNumberFormat="1" applyFont="1" applyBorder="1" applyAlignment="1">
      <alignment horizontal="center" vertical="center"/>
    </xf>
    <xf numFmtId="0" fontId="9" fillId="4" borderId="0" xfId="0" applyFont="1" applyFill="1"/>
    <xf numFmtId="164" fontId="7" fillId="0" borderId="0" xfId="0" applyNumberFormat="1" applyFont="1" applyAlignment="1">
      <alignment horizontal="center" vertical="center" wrapText="1"/>
    </xf>
    <xf numFmtId="0" fontId="12" fillId="0" borderId="0" xfId="0" applyFont="1"/>
    <xf numFmtId="2" fontId="8" fillId="0" borderId="0" xfId="0" applyNumberFormat="1" applyFont="1" applyAlignment="1">
      <alignment horizontal="center" vertical="center"/>
    </xf>
    <xf numFmtId="0" fontId="13" fillId="0" borderId="0" xfId="0" applyFont="1"/>
    <xf numFmtId="2" fontId="1" fillId="0" borderId="32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64" fontId="9" fillId="0" borderId="10" xfId="0" applyNumberFormat="1" applyFont="1" applyBorder="1"/>
    <xf numFmtId="2" fontId="9" fillId="0" borderId="14" xfId="0" applyNumberFormat="1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164" fontId="7" fillId="0" borderId="42" xfId="0" applyNumberFormat="1" applyFont="1" applyBorder="1" applyAlignment="1">
      <alignment horizontal="center" vertical="center" wrapText="1"/>
    </xf>
    <xf numFmtId="0" fontId="9" fillId="0" borderId="53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2" fontId="9" fillId="0" borderId="54" xfId="0" applyNumberFormat="1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1" fillId="0" borderId="52" xfId="0" applyNumberFormat="1" applyFont="1" applyBorder="1" applyAlignment="1">
      <alignment horizontal="center" vertical="center"/>
    </xf>
    <xf numFmtId="2" fontId="1" fillId="0" borderId="56" xfId="0" applyNumberFormat="1" applyFont="1" applyBorder="1" applyAlignment="1">
      <alignment horizontal="center" vertical="center"/>
    </xf>
    <xf numFmtId="0" fontId="10" fillId="0" borderId="0" xfId="0" applyFont="1"/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4" fontId="9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5" fillId="0" borderId="43" xfId="0" applyNumberFormat="1" applyFont="1" applyBorder="1" applyAlignment="1">
      <alignment horizontal="center" vertical="center"/>
    </xf>
    <xf numFmtId="49" fontId="5" fillId="0" borderId="44" xfId="0" applyNumberFormat="1" applyFont="1" applyBorder="1" applyAlignment="1">
      <alignment horizontal="center" vertical="center"/>
    </xf>
    <xf numFmtId="49" fontId="5" fillId="0" borderId="45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2" fontId="6" fillId="0" borderId="31" xfId="0" applyNumberFormat="1" applyFont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1" fillId="0" borderId="38" xfId="0" applyNumberFormat="1" applyFont="1" applyBorder="1" applyAlignment="1">
      <alignment horizontal="center" vertical="center"/>
    </xf>
    <xf numFmtId="2" fontId="1" fillId="0" borderId="43" xfId="0" applyNumberFormat="1" applyFont="1" applyBorder="1" applyAlignment="1">
      <alignment horizontal="center" vertical="center"/>
    </xf>
    <xf numFmtId="2" fontId="1" fillId="0" borderId="44" xfId="0" applyNumberFormat="1" applyFont="1" applyBorder="1" applyAlignment="1">
      <alignment horizontal="center" vertical="center"/>
    </xf>
    <xf numFmtId="2" fontId="1" fillId="0" borderId="45" xfId="0" applyNumberFormat="1" applyFont="1" applyBorder="1" applyAlignment="1">
      <alignment horizontal="center" vertical="center"/>
    </xf>
    <xf numFmtId="2" fontId="1" fillId="0" borderId="55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2" fontId="1" fillId="0" borderId="29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57" xfId="0" applyNumberFormat="1" applyFont="1" applyBorder="1" applyAlignment="1">
      <alignment horizontal="center" vertical="center"/>
    </xf>
    <xf numFmtId="2" fontId="1" fillId="0" borderId="56" xfId="0" applyNumberFormat="1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 wrapText="1"/>
    </xf>
    <xf numFmtId="2" fontId="6" fillId="0" borderId="32" xfId="0" applyNumberFormat="1" applyFont="1" applyBorder="1" applyAlignment="1">
      <alignment horizontal="center" vertical="center" wrapText="1"/>
    </xf>
    <xf numFmtId="2" fontId="1" fillId="0" borderId="35" xfId="0" applyNumberFormat="1" applyFont="1" applyBorder="1" applyAlignment="1">
      <alignment horizontal="center" vertical="center"/>
    </xf>
    <xf numFmtId="2" fontId="1" fillId="0" borderId="36" xfId="0" applyNumberFormat="1" applyFont="1" applyBorder="1" applyAlignment="1">
      <alignment horizontal="center" vertical="center"/>
    </xf>
    <xf numFmtId="2" fontId="1" fillId="0" borderId="37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164" fontId="8" fillId="0" borderId="50" xfId="0" applyNumberFormat="1" applyFont="1" applyBorder="1" applyAlignment="1">
      <alignment horizontal="center" vertical="center"/>
    </xf>
    <xf numFmtId="164" fontId="8" fillId="0" borderId="51" xfId="0" applyNumberFormat="1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center" vertical="center"/>
    </xf>
    <xf numFmtId="164" fontId="8" fillId="0" borderId="25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8" fillId="6" borderId="8" xfId="0" applyNumberFormat="1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164" fontId="9" fillId="0" borderId="57" xfId="0" applyNumberFormat="1" applyFont="1" applyBorder="1" applyAlignment="1">
      <alignment horizontal="center" vertical="center"/>
    </xf>
    <xf numFmtId="164" fontId="9" fillId="0" borderId="56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66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CB463-0DE9-4B71-B5F6-2189D3745C41}">
  <sheetPr>
    <pageSetUpPr fitToPage="1"/>
  </sheetPr>
  <dimension ref="A1:W345"/>
  <sheetViews>
    <sheetView tabSelected="1" zoomScale="85" zoomScaleNormal="85" zoomScalePageLayoutView="62" workbookViewId="0">
      <pane ySplit="2" topLeftCell="A3" activePane="bottomLeft" state="frozen"/>
      <selection pane="bottomLeft" activeCell="L28" sqref="L28"/>
    </sheetView>
  </sheetViews>
  <sheetFormatPr defaultColWidth="11.5703125" defaultRowHeight="15.75" x14ac:dyDescent="0.2"/>
  <cols>
    <col min="1" max="1" width="7.85546875" style="2" bestFit="1" customWidth="1"/>
    <col min="2" max="2" width="24" style="11" bestFit="1" customWidth="1"/>
    <col min="3" max="3" width="6.5703125" style="2" bestFit="1" customWidth="1"/>
    <col min="4" max="4" width="10" style="2" customWidth="1"/>
    <col min="5" max="5" width="4.28515625" style="2" customWidth="1"/>
    <col min="6" max="6" width="8.85546875" style="2" bestFit="1" customWidth="1"/>
    <col min="7" max="7" width="10.42578125" style="15" bestFit="1" customWidth="1"/>
    <col min="8" max="8" width="8.85546875" style="2" bestFit="1" customWidth="1"/>
    <col min="9" max="9" width="10.7109375" style="3" bestFit="1" customWidth="1"/>
    <col min="10" max="10" width="8.140625" style="2" customWidth="1"/>
    <col min="11" max="12" width="7" style="2" bestFit="1" customWidth="1"/>
    <col min="13" max="13" width="5.5703125" style="2" bestFit="1" customWidth="1"/>
    <col min="14" max="14" width="11.42578125" style="2" bestFit="1" customWidth="1"/>
    <col min="15" max="15" width="7.42578125" style="2" bestFit="1" customWidth="1"/>
    <col min="16" max="16" width="8.5703125" style="2" customWidth="1"/>
    <col min="17" max="17" width="8.85546875" style="2" bestFit="1" customWidth="1"/>
    <col min="18" max="18" width="8.28515625" style="2" customWidth="1"/>
    <col min="19" max="19" width="13.140625" style="2" hidden="1" customWidth="1"/>
    <col min="20" max="20" width="13.140625" style="2" customWidth="1"/>
    <col min="21" max="21" width="15" style="2" customWidth="1"/>
    <col min="22" max="242" width="9.140625" style="2" customWidth="1"/>
    <col min="243" max="16384" width="11.5703125" style="2"/>
  </cols>
  <sheetData>
    <row r="1" spans="1:23" ht="133.5" thickBot="1" x14ac:dyDescent="0.25">
      <c r="A1" s="40" t="s">
        <v>0</v>
      </c>
      <c r="B1" s="39" t="s">
        <v>1</v>
      </c>
      <c r="C1" s="35" t="s">
        <v>51</v>
      </c>
      <c r="D1" s="35" t="s">
        <v>2</v>
      </c>
      <c r="E1" s="35" t="s">
        <v>3</v>
      </c>
      <c r="F1" s="35" t="s">
        <v>4</v>
      </c>
      <c r="G1" s="36" t="s">
        <v>5</v>
      </c>
      <c r="H1" s="35" t="s">
        <v>6</v>
      </c>
      <c r="I1" s="38" t="s">
        <v>7</v>
      </c>
      <c r="J1" s="35" t="s">
        <v>52</v>
      </c>
      <c r="K1" s="35" t="s">
        <v>8</v>
      </c>
      <c r="L1" s="35" t="s">
        <v>9</v>
      </c>
      <c r="M1" s="35" t="s">
        <v>10</v>
      </c>
      <c r="N1" s="41" t="s">
        <v>11</v>
      </c>
      <c r="O1" s="35" t="s">
        <v>12</v>
      </c>
      <c r="P1" s="35" t="s">
        <v>13</v>
      </c>
      <c r="Q1" s="35" t="s">
        <v>58</v>
      </c>
      <c r="R1" s="37" t="s">
        <v>40</v>
      </c>
    </row>
    <row r="2" spans="1:23" ht="19.5" thickBot="1" x14ac:dyDescent="0.25">
      <c r="A2" s="31"/>
      <c r="B2" s="26"/>
      <c r="C2" s="27" t="s">
        <v>53</v>
      </c>
      <c r="D2" s="27"/>
      <c r="E2" s="27"/>
      <c r="F2" s="27" t="s">
        <v>14</v>
      </c>
      <c r="G2" s="32" t="s">
        <v>14</v>
      </c>
      <c r="H2" s="27" t="s">
        <v>54</v>
      </c>
      <c r="I2" s="33" t="s">
        <v>55</v>
      </c>
      <c r="J2" s="27" t="s">
        <v>56</v>
      </c>
      <c r="K2" s="27" t="s">
        <v>15</v>
      </c>
      <c r="L2" s="27" t="s">
        <v>15</v>
      </c>
      <c r="M2" s="27" t="s">
        <v>15</v>
      </c>
      <c r="N2" s="27" t="s">
        <v>16</v>
      </c>
      <c r="O2" s="27" t="s">
        <v>17</v>
      </c>
      <c r="P2" s="27" t="s">
        <v>17</v>
      </c>
      <c r="Q2" s="28">
        <v>1.2</v>
      </c>
      <c r="R2" s="34" t="s">
        <v>57</v>
      </c>
    </row>
    <row r="3" spans="1:23" ht="16.5" thickBot="1" x14ac:dyDescent="0.25">
      <c r="A3" s="127" t="s">
        <v>23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9"/>
    </row>
    <row r="4" spans="1:23" ht="16.5" thickBot="1" x14ac:dyDescent="0.25">
      <c r="A4" s="127" t="s">
        <v>23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9"/>
    </row>
    <row r="5" spans="1:23" x14ac:dyDescent="0.2">
      <c r="A5" s="130">
        <v>101</v>
      </c>
      <c r="B5" s="131"/>
      <c r="C5" s="23">
        <v>23</v>
      </c>
      <c r="D5" s="23" t="s">
        <v>103</v>
      </c>
      <c r="E5" s="132"/>
      <c r="F5" s="133"/>
      <c r="G5" s="134"/>
      <c r="H5" s="23">
        <v>59</v>
      </c>
      <c r="I5" s="29">
        <f>VLOOKUP(D5,Konstantes!$A$17:$B$29,2,FALSE)</f>
        <v>0.57999999999999996</v>
      </c>
      <c r="J5" s="23">
        <f>IF(OR(D5="GRD1",D5="GRD2",D5="GRD3",D5="GRD4"),Apreķins!C5-Konstantes!B$43,Apreķins!C5-Konstantes!B$42)</f>
        <v>44</v>
      </c>
      <c r="K5" s="23" t="str">
        <f>IF(OR(D5="ĀS",D5="ĀSB",D5="DL",D5="DR"),LOOKUP(E5,Konstantes!A$32:A$39,Konstantes!B$32:B$39),"0")</f>
        <v>0</v>
      </c>
      <c r="L5" s="23" t="str">
        <f t="shared" ref="L5:L14" si="0">IF(OR(D5="ĀS",D5="ĀSB",D5="DL",D5="DR"),0.1,"0")</f>
        <v>0</v>
      </c>
      <c r="M5" s="23" t="str">
        <f t="shared" ref="M5:M14" si="1">IF(OR(D5="DR",D5="IEDURV"),2,"0")</f>
        <v>0</v>
      </c>
      <c r="N5" s="23">
        <f t="shared" ref="N5:N14" si="2">M5+L5+K5+1</f>
        <v>1</v>
      </c>
      <c r="O5" s="30">
        <f>N5*J5*I5*H5</f>
        <v>1505.68</v>
      </c>
      <c r="P5" s="140"/>
      <c r="Q5" s="141"/>
      <c r="R5" s="142"/>
      <c r="S5" s="138">
        <f>C5</f>
        <v>23</v>
      </c>
    </row>
    <row r="6" spans="1:23" x14ac:dyDescent="0.2">
      <c r="A6" s="130"/>
      <c r="B6" s="131"/>
      <c r="C6" s="23">
        <v>23</v>
      </c>
      <c r="D6" s="23" t="s">
        <v>104</v>
      </c>
      <c r="E6" s="144"/>
      <c r="F6" s="145"/>
      <c r="G6" s="146"/>
      <c r="H6" s="5">
        <v>24</v>
      </c>
      <c r="I6" s="16">
        <f>VLOOKUP(D6,Konstantes!$A$17:$B$29,2,FALSE)</f>
        <v>0.2</v>
      </c>
      <c r="J6" s="5">
        <f>IF(OR(D6="GRD1",D6="GRD2",D6="GRD3",D6="GRD4"),Apreķins!C6-Konstantes!B$43,Apreķins!C6-Konstantes!B$42)</f>
        <v>44</v>
      </c>
      <c r="K6" s="5" t="str">
        <f>IF(OR(D6="ĀS",D6="ĀSB",D6="DL",D6="DR"),LOOKUP(E6,Konstantes!A$32:A$39,Konstantes!B$32:B$39),"0")</f>
        <v>0</v>
      </c>
      <c r="L6" s="5" t="str">
        <f t="shared" ref="L6:L7" si="3">IF(OR(D6="ĀS",D6="ĀSB",D6="DL",D6="DR"),0.1,"0")</f>
        <v>0</v>
      </c>
      <c r="M6" s="5" t="str">
        <f t="shared" ref="M6:M7" si="4">IF(OR(D6="DR",D6="IEDURV"),2,"0")</f>
        <v>0</v>
      </c>
      <c r="N6" s="5">
        <f t="shared" ref="N6:N7" si="5">M6+L6+K6+1</f>
        <v>1</v>
      </c>
      <c r="O6" s="21">
        <f>N6*J6*I6*H6</f>
        <v>211.20000000000002</v>
      </c>
      <c r="P6" s="140"/>
      <c r="Q6" s="141"/>
      <c r="R6" s="142"/>
      <c r="S6" s="138"/>
    </row>
    <row r="7" spans="1:23" x14ac:dyDescent="0.2">
      <c r="A7" s="130"/>
      <c r="B7" s="131"/>
      <c r="C7" s="23">
        <v>23</v>
      </c>
      <c r="D7" s="23" t="s">
        <v>105</v>
      </c>
      <c r="E7" s="144"/>
      <c r="F7" s="145"/>
      <c r="G7" s="146"/>
      <c r="H7" s="28">
        <v>28</v>
      </c>
      <c r="I7" s="29">
        <f>VLOOKUP(D7,Konstantes!$A$17:$B$29,2,FALSE)</f>
        <v>0.28000000000000003</v>
      </c>
      <c r="J7" s="28">
        <f>IF(OR(D7="GRD1",D7="GRD2",D7="GRD3",D7="GRD4"),Apreķins!C7-Konstantes!B$43,Apreķins!C7-Konstantes!B$42)</f>
        <v>44</v>
      </c>
      <c r="K7" s="23" t="str">
        <f>IF(OR(D7="ĀS",D7="ĀSB",D7="DL",D7="DR"),LOOKUP(E7,Konstantes!A$32:A$39,Konstantes!B$32:B$39),"0")</f>
        <v>0</v>
      </c>
      <c r="L7" s="28" t="str">
        <f t="shared" si="3"/>
        <v>0</v>
      </c>
      <c r="M7" s="28" t="str">
        <f t="shared" si="4"/>
        <v>0</v>
      </c>
      <c r="N7" s="28">
        <f t="shared" si="5"/>
        <v>1</v>
      </c>
      <c r="O7" s="46">
        <f>N7*J7*I7*H7</f>
        <v>344.96000000000004</v>
      </c>
      <c r="P7" s="140"/>
      <c r="Q7" s="141"/>
      <c r="R7" s="142"/>
      <c r="S7" s="138"/>
    </row>
    <row r="8" spans="1:23" x14ac:dyDescent="0.2">
      <c r="A8" s="130"/>
      <c r="B8" s="131"/>
      <c r="C8" s="5">
        <v>23</v>
      </c>
      <c r="D8" s="4" t="s">
        <v>111</v>
      </c>
      <c r="E8" s="13" t="s">
        <v>18</v>
      </c>
      <c r="F8" s="5">
        <v>3.3</v>
      </c>
      <c r="G8" s="13">
        <v>5.56</v>
      </c>
      <c r="H8" s="5">
        <f>F8*G8-H14</f>
        <v>15.993999999999998</v>
      </c>
      <c r="I8" s="16">
        <f>VLOOKUP(D8,Konstantes!$A$17:$B$29,2,FALSE)</f>
        <v>0.21</v>
      </c>
      <c r="J8" s="5">
        <f>IF(OR(D8="GRD1",D8="GRD2",D8="GRD3",D8="GRD4"),Apreķins!C8-Konstantes!B$43,Apreķins!C8-Konstantes!B$42)</f>
        <v>44</v>
      </c>
      <c r="K8" s="5">
        <f>IF(OR(D8="ĀS",D8="ĀSB",D8="DL",D8="DR"),LOOKUP(E8,Konstantes!A$32:A$39,Konstantes!B$32:B$39),"0")</f>
        <v>0.1</v>
      </c>
      <c r="L8" s="5">
        <f t="shared" si="0"/>
        <v>0.1</v>
      </c>
      <c r="M8" s="5" t="str">
        <f t="shared" si="1"/>
        <v>0</v>
      </c>
      <c r="N8" s="5">
        <f t="shared" si="2"/>
        <v>1.2</v>
      </c>
      <c r="O8" s="21">
        <f>N8*J8*I8*H8</f>
        <v>177.34147199999995</v>
      </c>
      <c r="P8" s="140"/>
      <c r="Q8" s="141"/>
      <c r="R8" s="142"/>
      <c r="S8" s="138"/>
    </row>
    <row r="9" spans="1:23" x14ac:dyDescent="0.2">
      <c r="A9" s="130"/>
      <c r="B9" s="131"/>
      <c r="C9" s="5">
        <v>23</v>
      </c>
      <c r="D9" s="4" t="s">
        <v>111</v>
      </c>
      <c r="E9" s="13" t="s">
        <v>18</v>
      </c>
      <c r="F9" s="5">
        <v>3.56</v>
      </c>
      <c r="G9" s="13">
        <v>5.56</v>
      </c>
      <c r="H9" s="5">
        <f>F9*G9</f>
        <v>19.793599999999998</v>
      </c>
      <c r="I9" s="16">
        <f>VLOOKUP(D9,Konstantes!$A$17:$B$29,2,FALSE)</f>
        <v>0.21</v>
      </c>
      <c r="J9" s="5">
        <f>IF(OR(D9="GRD1",D9="GRD2",D9="GRD3",D9="GRD4"),Apreķins!C9-Konstantes!B$43,Apreķins!C9-Konstantes!B$42)</f>
        <v>44</v>
      </c>
      <c r="K9" s="5">
        <f>IF(OR(D9="ĀS",D9="ĀSB",D9="DL",D9="DR"),LOOKUP(E9,Konstantes!A$32:A$39,Konstantes!B$32:B$39),"0")</f>
        <v>0.1</v>
      </c>
      <c r="L9" s="5">
        <f t="shared" si="0"/>
        <v>0.1</v>
      </c>
      <c r="M9" s="5" t="str">
        <f t="shared" si="1"/>
        <v>0</v>
      </c>
      <c r="N9" s="5">
        <f t="shared" si="2"/>
        <v>1.2</v>
      </c>
      <c r="O9" s="21">
        <f t="shared" ref="O9:O14" si="6">N9*J9*I9*H9</f>
        <v>219.47143679999996</v>
      </c>
      <c r="P9" s="140"/>
      <c r="Q9" s="141"/>
      <c r="R9" s="142"/>
      <c r="S9" s="138"/>
    </row>
    <row r="10" spans="1:23" x14ac:dyDescent="0.2">
      <c r="A10" s="130"/>
      <c r="B10" s="131"/>
      <c r="C10" s="5">
        <v>23</v>
      </c>
      <c r="D10" s="4" t="s">
        <v>111</v>
      </c>
      <c r="E10" s="13" t="s">
        <v>30</v>
      </c>
      <c r="F10" s="5">
        <v>17.850000000000001</v>
      </c>
      <c r="G10" s="13">
        <v>5.56</v>
      </c>
      <c r="H10" s="5">
        <f>F10*G10-H13</f>
        <v>81.765999999999991</v>
      </c>
      <c r="I10" s="16">
        <f>VLOOKUP(D10,Konstantes!$A$17:$B$29,2,FALSE)</f>
        <v>0.21</v>
      </c>
      <c r="J10" s="5">
        <f>IF(OR(D10="GRD1",D10="GRD2",D10="GRD3",D10="GRD4"),Apreķins!C10-Konstantes!B$43,Apreķins!C10-Konstantes!B$42)</f>
        <v>44</v>
      </c>
      <c r="K10" s="5">
        <f>IF(OR(D10="ĀS",D10="ĀSB",D10="DL",D10="DR"),LOOKUP(E10,Konstantes!A$32:A$39,Konstantes!B$32:B$39),"0")</f>
        <v>0.1</v>
      </c>
      <c r="L10" s="23">
        <f t="shared" si="0"/>
        <v>0.1</v>
      </c>
      <c r="M10" s="5" t="str">
        <f t="shared" si="1"/>
        <v>0</v>
      </c>
      <c r="N10" s="5">
        <f t="shared" si="2"/>
        <v>1.2</v>
      </c>
      <c r="O10" s="21">
        <f t="shared" si="6"/>
        <v>906.62140799999986</v>
      </c>
      <c r="P10" s="140"/>
      <c r="Q10" s="141"/>
      <c r="R10" s="142"/>
      <c r="S10" s="138"/>
    </row>
    <row r="11" spans="1:23" x14ac:dyDescent="0.2">
      <c r="A11" s="130"/>
      <c r="B11" s="131"/>
      <c r="C11" s="5">
        <v>23</v>
      </c>
      <c r="D11" s="4" t="s">
        <v>111</v>
      </c>
      <c r="E11" s="13" t="s">
        <v>30</v>
      </c>
      <c r="F11" s="5">
        <v>1</v>
      </c>
      <c r="G11" s="13">
        <v>5.56</v>
      </c>
      <c r="H11" s="5">
        <f>F11*G11</f>
        <v>5.56</v>
      </c>
      <c r="I11" s="16">
        <f>VLOOKUP(D11,Konstantes!$A$17:$B$29,2,FALSE)</f>
        <v>0.21</v>
      </c>
      <c r="J11" s="5">
        <f>IF(OR(D11="GRD1",D11="GRD2",D11="GRD3",D11="GRD4"),Apreķins!C11-Konstantes!B$43,Apreķins!C11-Konstantes!B$42)</f>
        <v>44</v>
      </c>
      <c r="K11" s="28">
        <f>IF(OR(D11="ĀS",D11="ĀSB",D11="DL",D11="DR"),LOOKUP(E11,Konstantes!A$32:A$39,Konstantes!B$32:B$39),"0")</f>
        <v>0.1</v>
      </c>
      <c r="L11" s="5">
        <f t="shared" ref="L11:L13" si="7">IF(OR(D11="ĀS",D11="ĀSB",D11="DL",D11="DR"),0.1,"0")</f>
        <v>0.1</v>
      </c>
      <c r="M11" s="5" t="str">
        <f t="shared" ref="M11:M13" si="8">IF(OR(D11="DR",D11="IEDURV"),2,"0")</f>
        <v>0</v>
      </c>
      <c r="N11" s="5">
        <f t="shared" ref="N11:N13" si="9">M11+L11+K11+1</f>
        <v>1.2</v>
      </c>
      <c r="O11" s="21">
        <f>N11*J11*I11*H11</f>
        <v>61.64927999999999</v>
      </c>
      <c r="P11" s="140"/>
      <c r="Q11" s="141"/>
      <c r="R11" s="142"/>
      <c r="S11" s="138"/>
    </row>
    <row r="12" spans="1:23" x14ac:dyDescent="0.2">
      <c r="A12" s="130"/>
      <c r="B12" s="131"/>
      <c r="C12" s="5">
        <v>23</v>
      </c>
      <c r="D12" s="4" t="s">
        <v>111</v>
      </c>
      <c r="E12" s="13" t="s">
        <v>29</v>
      </c>
      <c r="F12" s="5">
        <v>2.4</v>
      </c>
      <c r="G12" s="13">
        <v>5.56</v>
      </c>
      <c r="H12" s="5">
        <f>F12*G12</f>
        <v>13.343999999999999</v>
      </c>
      <c r="I12" s="16">
        <f>VLOOKUP(D12,Konstantes!$A$17:$B$29,2,FALSE)</f>
        <v>0.21</v>
      </c>
      <c r="J12" s="5">
        <f>IF(OR(D12="GRD1",D12="GRD2",D12="GRD3",D12="GRD4"),Apreķins!C12-Konstantes!B$43,Apreķins!C12-Konstantes!B$42)</f>
        <v>44</v>
      </c>
      <c r="K12" s="5">
        <f>IF(OR(D12="ĀS",D12="ĀSB",D12="DL",D12="DR"),LOOKUP(E12,Konstantes!A$32:A$39,Konstantes!B$32:B$39),"0")</f>
        <v>0.05</v>
      </c>
      <c r="L12" s="5">
        <f t="shared" si="7"/>
        <v>0.1</v>
      </c>
      <c r="M12" s="5" t="str">
        <f t="shared" si="8"/>
        <v>0</v>
      </c>
      <c r="N12" s="5">
        <f t="shared" si="9"/>
        <v>1.1499999999999999</v>
      </c>
      <c r="O12" s="21">
        <f t="shared" ref="O12:O13" si="10">N12*J12*I12*H12</f>
        <v>141.79334399999996</v>
      </c>
      <c r="P12" s="140"/>
      <c r="Q12" s="141"/>
      <c r="R12" s="142"/>
      <c r="S12" s="138"/>
    </row>
    <row r="13" spans="1:23" x14ac:dyDescent="0.2">
      <c r="A13" s="130"/>
      <c r="B13" s="131"/>
      <c r="C13" s="5">
        <v>23</v>
      </c>
      <c r="D13" s="4" t="s">
        <v>110</v>
      </c>
      <c r="E13" s="13" t="s">
        <v>30</v>
      </c>
      <c r="F13" s="5">
        <v>7.6</v>
      </c>
      <c r="G13" s="13">
        <v>2.2999999999999998</v>
      </c>
      <c r="H13" s="5">
        <f>F13*G13</f>
        <v>17.479999999999997</v>
      </c>
      <c r="I13" s="16">
        <f>VLOOKUP(D13,Konstantes!$A$17:$B$29,2,FALSE)</f>
        <v>1.4</v>
      </c>
      <c r="J13" s="5">
        <f>IF(OR(D13="GRD1",D13="GRD2",D13="GRD3",D13="GRD4"),Apreķins!C13-Konstantes!B$43,Apreķins!C13-Konstantes!B$42)</f>
        <v>44</v>
      </c>
      <c r="K13" s="43">
        <f>IF(OR(D13="ĀS",D13="ĀSB",D13="DL",D13="DR"),LOOKUP(E13,Konstantes!A$32:A$39,Konstantes!B$32:B$39),"0")</f>
        <v>0.1</v>
      </c>
      <c r="L13" s="5">
        <f t="shared" si="7"/>
        <v>0.1</v>
      </c>
      <c r="M13" s="5" t="str">
        <f t="shared" si="8"/>
        <v>0</v>
      </c>
      <c r="N13" s="5">
        <f t="shared" si="9"/>
        <v>1.2</v>
      </c>
      <c r="O13" s="21">
        <f t="shared" si="10"/>
        <v>1292.1215999999995</v>
      </c>
      <c r="P13" s="132"/>
      <c r="Q13" s="133"/>
      <c r="R13" s="143"/>
      <c r="S13" s="138"/>
      <c r="W13" s="19"/>
    </row>
    <row r="14" spans="1:23" ht="16.5" thickBot="1" x14ac:dyDescent="0.25">
      <c r="A14" s="130"/>
      <c r="B14" s="131"/>
      <c r="C14" s="5">
        <v>23</v>
      </c>
      <c r="D14" s="120" t="s">
        <v>22</v>
      </c>
      <c r="E14" s="13" t="s">
        <v>18</v>
      </c>
      <c r="F14" s="5">
        <v>1.1000000000000001</v>
      </c>
      <c r="G14" s="5">
        <v>2.14</v>
      </c>
      <c r="H14" s="5">
        <f t="shared" ref="H14" si="11">F14*G14</f>
        <v>2.3540000000000005</v>
      </c>
      <c r="I14" s="16">
        <f>VLOOKUP(D14,Konstantes!$A$17:$B$29,2,FALSE)</f>
        <v>2</v>
      </c>
      <c r="J14" s="5">
        <f>IF(OR(D14="GRD1",D14="GRD2",D14="GRD3",D14="GRD4"),Apreķins!C14-Konstantes!B$43,Apreķins!C14-Konstantes!B$42)</f>
        <v>44</v>
      </c>
      <c r="K14" s="5">
        <f>IF(OR(D14="ĀS",D14="ĀSB",D14="DL",D14="DR"),LOOKUP(E14,Konstantes!A$32:A$39,Konstantes!B$32:B$39),"0")</f>
        <v>0.1</v>
      </c>
      <c r="L14" s="5">
        <f t="shared" si="0"/>
        <v>0.1</v>
      </c>
      <c r="M14" s="5">
        <f t="shared" si="1"/>
        <v>2</v>
      </c>
      <c r="N14" s="5">
        <f t="shared" si="2"/>
        <v>3.2</v>
      </c>
      <c r="O14" s="21">
        <f t="shared" si="6"/>
        <v>662.88640000000021</v>
      </c>
      <c r="P14" s="24">
        <f>SUM(O3:O14)</f>
        <v>5523.7249407999998</v>
      </c>
      <c r="Q14" s="22">
        <f>ROUND(P14*$Q$2,-1)</f>
        <v>6630</v>
      </c>
      <c r="R14" s="42">
        <f>Q14/SUM(H5:H7)</f>
        <v>59.729729729729726</v>
      </c>
      <c r="S14" s="138"/>
    </row>
    <row r="15" spans="1:23" ht="16.5" thickBot="1" x14ac:dyDescent="0.25">
      <c r="A15" s="135" t="s">
        <v>88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7"/>
    </row>
    <row r="16" spans="1:23" x14ac:dyDescent="0.2">
      <c r="A16" s="147">
        <v>322</v>
      </c>
      <c r="B16" s="149"/>
      <c r="C16" s="25">
        <v>23</v>
      </c>
      <c r="D16" s="25" t="s">
        <v>74</v>
      </c>
      <c r="E16" s="151"/>
      <c r="F16" s="152"/>
      <c r="G16" s="153"/>
      <c r="H16" s="44">
        <v>23</v>
      </c>
      <c r="I16" s="1">
        <f>VLOOKUP(D16,Konstantes!$A$17:$B$29,2,FALSE)</f>
        <v>0.32</v>
      </c>
      <c r="J16" s="44">
        <f>IF(OR(D16="GRD1",D16="GRD2",D16="GRD3",D16="GRD4"),Apreķins!C16-Konstantes!B$43,Apreķins!C16-Konstantes!B$42)</f>
        <v>44</v>
      </c>
      <c r="K16" s="25" t="str">
        <f>IF(OR(D16="ĀS",D16="ĀSB",D16="DL",D16="DR"),LOOKUP(E16,Konstantes!A$32:A$39,Konstantes!B$32:B$39),"0")</f>
        <v>0</v>
      </c>
      <c r="L16" s="44" t="str">
        <f t="shared" ref="L16:L20" si="12">IF(OR(D16="ĀS",D16="ĀSB",D16="DL",D16="DR"),0.1,"0")</f>
        <v>0</v>
      </c>
      <c r="M16" s="44" t="str">
        <f t="shared" ref="M16:M20" si="13">IF(OR(D16="DR",D16="IEDURV"),2,"0")</f>
        <v>0</v>
      </c>
      <c r="N16" s="44">
        <f t="shared" ref="N16:N20" si="14">M16+L16+K16+1</f>
        <v>1</v>
      </c>
      <c r="O16" s="45">
        <f>N16*J16*I16*H16</f>
        <v>323.83999999999997</v>
      </c>
      <c r="P16" s="154"/>
      <c r="Q16" s="155"/>
      <c r="R16" s="156"/>
    </row>
    <row r="17" spans="1:18" x14ac:dyDescent="0.2">
      <c r="A17" s="130"/>
      <c r="B17" s="131"/>
      <c r="C17" s="5">
        <v>23</v>
      </c>
      <c r="D17" s="4" t="s">
        <v>111</v>
      </c>
      <c r="E17" s="13" t="s">
        <v>18</v>
      </c>
      <c r="F17" s="5">
        <v>6.81</v>
      </c>
      <c r="G17" s="13">
        <v>4.3</v>
      </c>
      <c r="H17" s="5">
        <f>F17*G17-H19</f>
        <v>25.767999999999997</v>
      </c>
      <c r="I17" s="16">
        <f>VLOOKUP(D17,Konstantes!$A$17:$B$29,2,FALSE)</f>
        <v>0.21</v>
      </c>
      <c r="J17" s="5">
        <f>IF(OR(D17="GRD1",D17="GRD2",D17="GRD3",D17="GRD4"),Apreķins!C17-Konstantes!B$43,Apreķins!C17-Konstantes!B$42)</f>
        <v>44</v>
      </c>
      <c r="K17" s="5">
        <f>IF(OR(D17="ĀS",D17="ĀSB",D17="DL",D17="DR"),LOOKUP(E17,Konstantes!A$32:A$39,Konstantes!B$32:B$39),"0")</f>
        <v>0.1</v>
      </c>
      <c r="L17" s="5">
        <f t="shared" si="12"/>
        <v>0.1</v>
      </c>
      <c r="M17" s="5" t="str">
        <f t="shared" si="13"/>
        <v>0</v>
      </c>
      <c r="N17" s="5">
        <f t="shared" si="14"/>
        <v>1.2</v>
      </c>
      <c r="O17" s="21">
        <f t="shared" ref="O17:O20" si="15">N17*J17*I17*H17</f>
        <v>285.71558399999992</v>
      </c>
      <c r="P17" s="140"/>
      <c r="Q17" s="141"/>
      <c r="R17" s="142"/>
    </row>
    <row r="18" spans="1:18" x14ac:dyDescent="0.2">
      <c r="A18" s="130"/>
      <c r="B18" s="131"/>
      <c r="C18" s="5">
        <v>23</v>
      </c>
      <c r="D18" s="4" t="s">
        <v>111</v>
      </c>
      <c r="E18" s="13" t="s">
        <v>30</v>
      </c>
      <c r="F18" s="5">
        <v>4.8</v>
      </c>
      <c r="G18" s="13">
        <v>4.3</v>
      </c>
      <c r="H18" s="5">
        <f>F18*G18-H20</f>
        <v>17.124999999999996</v>
      </c>
      <c r="I18" s="16">
        <f>VLOOKUP(D18,Konstantes!$A$17:$B$29,2,FALSE)</f>
        <v>0.21</v>
      </c>
      <c r="J18" s="5">
        <f>IF(OR(D18="GRD1",D18="GRD2",D18="GRD3",D18="GRD4"),Apreķins!C18-Konstantes!B$43,Apreķins!C18-Konstantes!B$42)</f>
        <v>44</v>
      </c>
      <c r="K18" s="43">
        <f>IF(OR(D18="ĀS",D18="ĀSB",D18="DL",D18="DR"),LOOKUP(E18,Konstantes!A$32:A$39,Konstantes!B$32:B$39),"0")</f>
        <v>0.1</v>
      </c>
      <c r="L18" s="5">
        <f t="shared" si="12"/>
        <v>0.1</v>
      </c>
      <c r="M18" s="5" t="str">
        <f t="shared" si="13"/>
        <v>0</v>
      </c>
      <c r="N18" s="5">
        <f t="shared" si="14"/>
        <v>1.2</v>
      </c>
      <c r="O18" s="21">
        <f t="shared" si="15"/>
        <v>189.88199999999995</v>
      </c>
      <c r="P18" s="140"/>
      <c r="Q18" s="141"/>
      <c r="R18" s="142"/>
    </row>
    <row r="19" spans="1:18" x14ac:dyDescent="0.2">
      <c r="A19" s="130"/>
      <c r="B19" s="131"/>
      <c r="C19" s="5">
        <v>23</v>
      </c>
      <c r="D19" s="120" t="s">
        <v>110</v>
      </c>
      <c r="E19" s="13" t="s">
        <v>18</v>
      </c>
      <c r="F19" s="5">
        <v>1.9</v>
      </c>
      <c r="G19" s="5">
        <v>1.85</v>
      </c>
      <c r="H19" s="5">
        <f t="shared" ref="H19" si="16">F19*G19</f>
        <v>3.5150000000000001</v>
      </c>
      <c r="I19" s="16">
        <f>VLOOKUP(D19,Konstantes!$A$17:$B$29,2,FALSE)</f>
        <v>1.4</v>
      </c>
      <c r="J19" s="5">
        <f>IF(OR(D19="GRD1",D19="GRD2",D19="GRD3",D19="GRD4"),Apreķins!C19-Konstantes!B$43,Apreķins!C19-Konstantes!B$42)</f>
        <v>44</v>
      </c>
      <c r="K19" s="5">
        <f>IF(OR(D19="ĀS",D19="ĀSB",D19="DL",D19="DR"),LOOKUP(E19,Konstantes!A$32:A$39,Konstantes!B$32:B$39),"0")</f>
        <v>0.1</v>
      </c>
      <c r="L19" s="5">
        <f t="shared" si="12"/>
        <v>0.1</v>
      </c>
      <c r="M19" s="5" t="str">
        <f t="shared" si="13"/>
        <v>0</v>
      </c>
      <c r="N19" s="5">
        <f t="shared" si="14"/>
        <v>1.2</v>
      </c>
      <c r="O19" s="21">
        <f t="shared" si="15"/>
        <v>259.82879999999994</v>
      </c>
      <c r="P19" s="140"/>
      <c r="Q19" s="141"/>
      <c r="R19" s="142"/>
    </row>
    <row r="20" spans="1:18" ht="16.5" thickBot="1" x14ac:dyDescent="0.25">
      <c r="A20" s="148"/>
      <c r="B20" s="150"/>
      <c r="C20" s="6">
        <v>23</v>
      </c>
      <c r="D20" s="119" t="s">
        <v>110</v>
      </c>
      <c r="E20" s="14" t="s">
        <v>30</v>
      </c>
      <c r="F20" s="104">
        <v>1.9</v>
      </c>
      <c r="G20" s="104">
        <v>1.85</v>
      </c>
      <c r="H20" s="104">
        <f>F20*G20</f>
        <v>3.5150000000000001</v>
      </c>
      <c r="I20" s="17">
        <f>VLOOKUP(D20,Konstantes!$A$17:$B$29,2,FALSE)</f>
        <v>1.4</v>
      </c>
      <c r="J20" s="6">
        <f>IF(OR(D20="GRD1",D20="GRD2",D20="GRD3",D20="GRD4"),Apreķins!C20-Konstantes!B$43,Apreķins!C20-Konstantes!B$42)</f>
        <v>44</v>
      </c>
      <c r="K20" s="104">
        <f>IF(OR(D20="ĀS",D20="ĀSB",D20="DL",D20="DR"),LOOKUP(E20,Konstantes!A$32:A$39,Konstantes!B$32:B$39),"0")</f>
        <v>0.1</v>
      </c>
      <c r="L20" s="104">
        <f t="shared" si="12"/>
        <v>0.1</v>
      </c>
      <c r="M20" s="104" t="str">
        <f t="shared" si="13"/>
        <v>0</v>
      </c>
      <c r="N20" s="104">
        <f t="shared" si="14"/>
        <v>1.2</v>
      </c>
      <c r="O20" s="105">
        <f t="shared" si="15"/>
        <v>259.82879999999994</v>
      </c>
      <c r="P20" s="24">
        <f>SUM(O16:O20)</f>
        <v>1319.0951839999998</v>
      </c>
      <c r="Q20" s="22">
        <f>ROUND(P20*$Q$2,-1)</f>
        <v>1580</v>
      </c>
      <c r="R20" s="42">
        <f>Q20/H16</f>
        <v>68.695652173913047</v>
      </c>
    </row>
    <row r="21" spans="1:18" x14ac:dyDescent="0.2">
      <c r="B21" s="12"/>
      <c r="C21" s="7"/>
      <c r="G21" s="2"/>
      <c r="Q21" s="10"/>
    </row>
    <row r="22" spans="1:18" x14ac:dyDescent="0.2">
      <c r="B22" s="12"/>
      <c r="C22" s="7"/>
      <c r="G22" s="2"/>
      <c r="Q22" s="10"/>
    </row>
    <row r="23" spans="1:18" x14ac:dyDescent="0.2">
      <c r="B23" s="12"/>
      <c r="C23" s="7"/>
      <c r="G23" s="2"/>
      <c r="Q23" s="10">
        <f>SUM(Q20+Q14)</f>
        <v>8210</v>
      </c>
    </row>
    <row r="24" spans="1:18" x14ac:dyDescent="0.2">
      <c r="B24" s="12"/>
      <c r="C24" s="7"/>
      <c r="G24" s="2"/>
      <c r="H24" s="19"/>
      <c r="Q24" s="8"/>
    </row>
    <row r="25" spans="1:18" x14ac:dyDescent="0.2"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</row>
    <row r="26" spans="1:18" x14ac:dyDescent="0.2">
      <c r="A26" s="47"/>
      <c r="C26" s="7"/>
      <c r="G26" s="2"/>
      <c r="Q26" s="9"/>
      <c r="R26" s="7"/>
    </row>
    <row r="27" spans="1:18" x14ac:dyDescent="0.2">
      <c r="C27" s="7"/>
      <c r="G27" s="2"/>
      <c r="Q27" s="9"/>
      <c r="R27" s="7"/>
    </row>
    <row r="28" spans="1:18" x14ac:dyDescent="0.2">
      <c r="C28" s="7"/>
      <c r="G28" s="2"/>
      <c r="Q28" s="9"/>
      <c r="R28" s="7"/>
    </row>
    <row r="29" spans="1:18" x14ac:dyDescent="0.2">
      <c r="C29" s="7"/>
      <c r="G29" s="2"/>
      <c r="Q29" s="9"/>
      <c r="R29" s="7"/>
    </row>
    <row r="30" spans="1:18" x14ac:dyDescent="0.2">
      <c r="C30" s="7"/>
      <c r="G30" s="2"/>
      <c r="Q30" s="8"/>
    </row>
    <row r="31" spans="1:18" x14ac:dyDescent="0.2">
      <c r="B31" s="12"/>
      <c r="C31" s="7"/>
      <c r="G31" s="2"/>
      <c r="Q31" s="10"/>
    </row>
    <row r="32" spans="1:18" x14ac:dyDescent="0.2">
      <c r="B32" s="12"/>
      <c r="C32" s="7"/>
      <c r="G32" s="2"/>
      <c r="P32" s="2" t="s">
        <v>112</v>
      </c>
      <c r="Q32" s="10"/>
    </row>
    <row r="33" spans="2:18" x14ac:dyDescent="0.2">
      <c r="B33" s="12"/>
      <c r="C33" s="7"/>
      <c r="G33" s="2"/>
      <c r="Q33" s="10"/>
    </row>
    <row r="34" spans="2:18" x14ac:dyDescent="0.2">
      <c r="B34" s="12"/>
      <c r="C34" s="7"/>
      <c r="G34" s="2"/>
      <c r="Q34" s="10"/>
    </row>
    <row r="35" spans="2:18" x14ac:dyDescent="0.2">
      <c r="B35" s="12"/>
      <c r="C35" s="7"/>
      <c r="G35" s="2"/>
      <c r="Q35" s="8"/>
    </row>
    <row r="36" spans="2:18" x14ac:dyDescent="0.2">
      <c r="C36" s="7"/>
      <c r="G36" s="2"/>
      <c r="Q36" s="9"/>
      <c r="R36" s="7"/>
    </row>
    <row r="37" spans="2:18" x14ac:dyDescent="0.2">
      <c r="C37" s="7"/>
      <c r="G37" s="2"/>
      <c r="Q37" s="9"/>
      <c r="R37" s="7"/>
    </row>
    <row r="38" spans="2:18" x14ac:dyDescent="0.2">
      <c r="C38" s="7"/>
      <c r="G38" s="2"/>
      <c r="Q38" s="9"/>
      <c r="R38" s="7"/>
    </row>
    <row r="39" spans="2:18" x14ac:dyDescent="0.2">
      <c r="C39" s="7"/>
      <c r="G39" s="2"/>
      <c r="Q39" s="9"/>
      <c r="R39" s="7"/>
    </row>
    <row r="40" spans="2:18" x14ac:dyDescent="0.2">
      <c r="C40" s="7"/>
      <c r="G40" s="2"/>
      <c r="Q40" s="8"/>
    </row>
    <row r="41" spans="2:18" x14ac:dyDescent="0.2">
      <c r="B41" s="12"/>
      <c r="C41" s="7"/>
      <c r="G41" s="2"/>
      <c r="Q41" s="10"/>
    </row>
    <row r="42" spans="2:18" x14ac:dyDescent="0.2">
      <c r="B42" s="12"/>
      <c r="C42" s="7"/>
      <c r="G42" s="2"/>
      <c r="Q42" s="10"/>
    </row>
    <row r="43" spans="2:18" x14ac:dyDescent="0.2">
      <c r="B43" s="12"/>
      <c r="C43" s="7"/>
      <c r="G43" s="2"/>
      <c r="Q43" s="10"/>
    </row>
    <row r="44" spans="2:18" x14ac:dyDescent="0.2">
      <c r="B44" s="12"/>
      <c r="C44" s="7"/>
      <c r="G44" s="2"/>
      <c r="Q44" s="10"/>
    </row>
    <row r="45" spans="2:18" x14ac:dyDescent="0.2">
      <c r="B45" s="12"/>
      <c r="C45" s="7"/>
      <c r="G45" s="2"/>
      <c r="Q45" s="8"/>
    </row>
    <row r="46" spans="2:18" x14ac:dyDescent="0.2">
      <c r="C46" s="7"/>
      <c r="G46" s="2"/>
      <c r="Q46" s="9"/>
      <c r="R46" s="7"/>
    </row>
    <row r="47" spans="2:18" x14ac:dyDescent="0.2">
      <c r="C47" s="7"/>
      <c r="G47" s="2"/>
      <c r="Q47" s="9"/>
      <c r="R47" s="7"/>
    </row>
    <row r="48" spans="2:18" x14ac:dyDescent="0.2">
      <c r="C48" s="7"/>
      <c r="G48" s="2"/>
      <c r="Q48" s="8"/>
    </row>
    <row r="49" spans="2:18" x14ac:dyDescent="0.2">
      <c r="B49" s="12"/>
      <c r="C49" s="7"/>
      <c r="G49" s="2"/>
      <c r="Q49" s="10"/>
    </row>
    <row r="50" spans="2:18" x14ac:dyDescent="0.2">
      <c r="B50" s="12"/>
      <c r="C50" s="7"/>
      <c r="G50" s="2"/>
      <c r="Q50" s="10"/>
    </row>
    <row r="51" spans="2:18" x14ac:dyDescent="0.2">
      <c r="B51" s="12"/>
      <c r="C51" s="7"/>
      <c r="G51" s="2"/>
      <c r="Q51" s="10"/>
    </row>
    <row r="52" spans="2:18" x14ac:dyDescent="0.2">
      <c r="B52" s="12"/>
      <c r="C52" s="7"/>
      <c r="G52" s="2"/>
      <c r="Q52" s="10"/>
    </row>
    <row r="53" spans="2:18" x14ac:dyDescent="0.2">
      <c r="B53" s="12"/>
      <c r="C53" s="7"/>
      <c r="G53" s="2"/>
      <c r="Q53" s="8"/>
    </row>
    <row r="54" spans="2:18" x14ac:dyDescent="0.2">
      <c r="B54" s="12"/>
      <c r="C54" s="7"/>
      <c r="G54" s="2"/>
      <c r="Q54" s="10"/>
    </row>
    <row r="55" spans="2:18" x14ac:dyDescent="0.2">
      <c r="B55" s="12"/>
      <c r="C55" s="7"/>
      <c r="G55" s="2"/>
      <c r="Q55" s="10"/>
    </row>
    <row r="56" spans="2:18" x14ac:dyDescent="0.2">
      <c r="B56" s="12"/>
      <c r="C56" s="7"/>
      <c r="G56" s="2"/>
      <c r="Q56" s="10"/>
    </row>
    <row r="57" spans="2:18" x14ac:dyDescent="0.2">
      <c r="B57" s="12"/>
      <c r="C57" s="7"/>
      <c r="G57" s="2"/>
      <c r="Q57" s="8"/>
    </row>
    <row r="58" spans="2:18" x14ac:dyDescent="0.2">
      <c r="C58" s="7"/>
      <c r="G58" s="2"/>
      <c r="Q58" s="9"/>
      <c r="R58" s="7"/>
    </row>
    <row r="59" spans="2:18" ht="32.25" customHeight="1" x14ac:dyDescent="0.2">
      <c r="C59" s="7"/>
      <c r="G59" s="2"/>
      <c r="Q59" s="9"/>
      <c r="R59" s="7"/>
    </row>
    <row r="60" spans="2:18" x14ac:dyDescent="0.2">
      <c r="C60" s="7"/>
      <c r="G60" s="2"/>
      <c r="Q60" s="9"/>
      <c r="R60" s="7"/>
    </row>
    <row r="61" spans="2:18" x14ac:dyDescent="0.2">
      <c r="C61" s="7"/>
      <c r="G61" s="2"/>
      <c r="Q61" s="9"/>
      <c r="R61" s="7"/>
    </row>
    <row r="62" spans="2:18" x14ac:dyDescent="0.2">
      <c r="C62" s="7"/>
      <c r="G62" s="2"/>
      <c r="Q62" s="8"/>
    </row>
    <row r="63" spans="2:18" x14ac:dyDescent="0.2">
      <c r="B63" s="12"/>
      <c r="C63" s="7"/>
      <c r="G63" s="2"/>
      <c r="Q63" s="10"/>
    </row>
    <row r="64" spans="2:18" x14ac:dyDescent="0.2">
      <c r="B64" s="12"/>
      <c r="C64" s="7"/>
      <c r="G64" s="2"/>
      <c r="Q64" s="10"/>
    </row>
    <row r="65" spans="2:18" x14ac:dyDescent="0.2">
      <c r="B65" s="12"/>
      <c r="C65" s="7"/>
      <c r="G65" s="2"/>
      <c r="Q65" s="10"/>
    </row>
    <row r="66" spans="2:18" x14ac:dyDescent="0.2">
      <c r="B66" s="12"/>
      <c r="C66" s="7"/>
      <c r="G66" s="2"/>
      <c r="Q66" s="10"/>
    </row>
    <row r="67" spans="2:18" x14ac:dyDescent="0.2">
      <c r="B67" s="12"/>
      <c r="C67" s="7"/>
      <c r="G67" s="2"/>
      <c r="Q67" s="8"/>
    </row>
    <row r="68" spans="2:18" x14ac:dyDescent="0.2">
      <c r="C68" s="7"/>
      <c r="G68" s="2"/>
      <c r="Q68" s="10"/>
    </row>
    <row r="69" spans="2:18" x14ac:dyDescent="0.2">
      <c r="C69" s="7"/>
      <c r="G69" s="2"/>
      <c r="Q69" s="10"/>
    </row>
    <row r="70" spans="2:18" x14ac:dyDescent="0.2">
      <c r="C70" s="7"/>
      <c r="G70" s="2"/>
      <c r="Q70" s="10"/>
    </row>
    <row r="71" spans="2:18" x14ac:dyDescent="0.2">
      <c r="C71" s="7"/>
      <c r="G71" s="2"/>
      <c r="Q71" s="10"/>
    </row>
    <row r="72" spans="2:18" x14ac:dyDescent="0.2">
      <c r="C72" s="7"/>
      <c r="G72" s="2"/>
      <c r="Q72" s="8"/>
    </row>
    <row r="73" spans="2:18" x14ac:dyDescent="0.2">
      <c r="C73" s="7"/>
      <c r="G73" s="2"/>
      <c r="Q73" s="9"/>
      <c r="R73" s="7"/>
    </row>
    <row r="74" spans="2:18" x14ac:dyDescent="0.2">
      <c r="C74" s="7"/>
      <c r="G74" s="2"/>
      <c r="Q74" s="9"/>
      <c r="R74" s="7"/>
    </row>
    <row r="75" spans="2:18" x14ac:dyDescent="0.2">
      <c r="C75" s="7"/>
      <c r="G75" s="2"/>
      <c r="Q75" s="9"/>
      <c r="R75" s="7"/>
    </row>
    <row r="76" spans="2:18" x14ac:dyDescent="0.2">
      <c r="C76" s="7"/>
      <c r="G76" s="2"/>
      <c r="Q76" s="9"/>
      <c r="R76" s="7"/>
    </row>
    <row r="77" spans="2:18" x14ac:dyDescent="0.2">
      <c r="C77" s="7"/>
      <c r="G77" s="2"/>
      <c r="Q77" s="8"/>
    </row>
    <row r="78" spans="2:18" x14ac:dyDescent="0.2">
      <c r="B78" s="12"/>
      <c r="C78" s="7"/>
      <c r="G78" s="2"/>
      <c r="Q78" s="10"/>
    </row>
    <row r="79" spans="2:18" x14ac:dyDescent="0.2">
      <c r="B79" s="12"/>
      <c r="C79" s="7"/>
      <c r="G79" s="2"/>
      <c r="Q79" s="10"/>
    </row>
    <row r="80" spans="2:18" x14ac:dyDescent="0.2">
      <c r="B80" s="12"/>
      <c r="C80" s="7"/>
      <c r="G80" s="2"/>
      <c r="Q80" s="10"/>
    </row>
    <row r="81" spans="2:18" x14ac:dyDescent="0.2">
      <c r="B81" s="12"/>
      <c r="C81" s="7"/>
      <c r="G81" s="2"/>
      <c r="Q81" s="10"/>
    </row>
    <row r="82" spans="2:18" x14ac:dyDescent="0.2">
      <c r="B82" s="12"/>
      <c r="C82" s="7"/>
      <c r="G82" s="2"/>
      <c r="Q82" s="8"/>
    </row>
    <row r="83" spans="2:18" x14ac:dyDescent="0.2">
      <c r="C83" s="7"/>
      <c r="G83" s="2"/>
      <c r="Q83" s="10"/>
    </row>
    <row r="84" spans="2:18" x14ac:dyDescent="0.2">
      <c r="C84" s="7"/>
      <c r="G84" s="2"/>
      <c r="Q84" s="10"/>
    </row>
    <row r="85" spans="2:18" x14ac:dyDescent="0.2">
      <c r="C85" s="7"/>
      <c r="G85" s="2"/>
      <c r="Q85" s="10"/>
    </row>
    <row r="86" spans="2:18" x14ac:dyDescent="0.2">
      <c r="C86" s="7"/>
      <c r="G86" s="2"/>
      <c r="Q86" s="10"/>
    </row>
    <row r="87" spans="2:18" x14ac:dyDescent="0.2">
      <c r="C87" s="7"/>
      <c r="G87" s="2"/>
      <c r="Q87" s="8"/>
    </row>
    <row r="88" spans="2:18" x14ac:dyDescent="0.2">
      <c r="C88" s="7"/>
      <c r="G88" s="2"/>
      <c r="Q88" s="9"/>
      <c r="R88" s="7"/>
    </row>
    <row r="89" spans="2:18" x14ac:dyDescent="0.2">
      <c r="C89" s="7"/>
      <c r="G89" s="2"/>
      <c r="Q89" s="9"/>
      <c r="R89" s="7"/>
    </row>
    <row r="90" spans="2:18" x14ac:dyDescent="0.2">
      <c r="C90" s="7"/>
      <c r="G90" s="2"/>
      <c r="Q90" s="9"/>
      <c r="R90" s="7"/>
    </row>
    <row r="91" spans="2:18" x14ac:dyDescent="0.2">
      <c r="C91" s="7"/>
      <c r="G91" s="2"/>
      <c r="Q91" s="9"/>
      <c r="R91" s="7"/>
    </row>
    <row r="92" spans="2:18" x14ac:dyDescent="0.2">
      <c r="C92" s="7"/>
      <c r="G92" s="2"/>
      <c r="Q92" s="8"/>
    </row>
    <row r="93" spans="2:18" x14ac:dyDescent="0.2">
      <c r="B93" s="12"/>
      <c r="C93" s="7"/>
      <c r="G93" s="2"/>
      <c r="Q93" s="10"/>
    </row>
    <row r="94" spans="2:18" x14ac:dyDescent="0.2">
      <c r="B94" s="12"/>
      <c r="C94" s="7"/>
      <c r="G94" s="2"/>
      <c r="Q94" s="10"/>
    </row>
    <row r="95" spans="2:18" x14ac:dyDescent="0.2">
      <c r="B95" s="12"/>
      <c r="C95" s="7"/>
      <c r="G95" s="2"/>
      <c r="Q95" s="10"/>
    </row>
    <row r="96" spans="2:18" x14ac:dyDescent="0.2">
      <c r="B96" s="12"/>
      <c r="C96" s="7"/>
      <c r="G96" s="2"/>
      <c r="Q96" s="10"/>
    </row>
    <row r="97" spans="2:18" x14ac:dyDescent="0.2">
      <c r="B97" s="12"/>
      <c r="C97" s="7"/>
      <c r="G97" s="2"/>
      <c r="Q97" s="8"/>
    </row>
    <row r="98" spans="2:18" x14ac:dyDescent="0.2">
      <c r="C98" s="7"/>
      <c r="G98" s="2"/>
      <c r="Q98" s="9"/>
      <c r="R98" s="7"/>
    </row>
    <row r="99" spans="2:18" x14ac:dyDescent="0.2">
      <c r="C99" s="7"/>
      <c r="G99" s="2"/>
      <c r="Q99" s="9"/>
      <c r="R99" s="7"/>
    </row>
    <row r="100" spans="2:18" x14ac:dyDescent="0.2">
      <c r="C100" s="7"/>
      <c r="G100" s="2"/>
      <c r="Q100" s="9"/>
      <c r="R100" s="7"/>
    </row>
    <row r="101" spans="2:18" x14ac:dyDescent="0.2">
      <c r="C101" s="7"/>
      <c r="G101" s="2"/>
      <c r="Q101" s="9"/>
      <c r="R101" s="7"/>
    </row>
    <row r="102" spans="2:18" x14ac:dyDescent="0.2">
      <c r="C102" s="7"/>
      <c r="G102" s="2"/>
      <c r="Q102" s="8"/>
    </row>
    <row r="103" spans="2:18" x14ac:dyDescent="0.2">
      <c r="B103" s="12"/>
      <c r="C103" s="7"/>
      <c r="G103" s="2"/>
      <c r="Q103" s="10"/>
    </row>
    <row r="104" spans="2:18" x14ac:dyDescent="0.2">
      <c r="B104" s="12"/>
      <c r="C104" s="7"/>
      <c r="G104" s="2"/>
      <c r="Q104" s="10"/>
    </row>
    <row r="105" spans="2:18" x14ac:dyDescent="0.2">
      <c r="B105" s="12"/>
      <c r="C105" s="7"/>
      <c r="G105" s="2"/>
      <c r="Q105" s="10"/>
    </row>
    <row r="106" spans="2:18" x14ac:dyDescent="0.2">
      <c r="B106" s="12"/>
      <c r="C106" s="7"/>
      <c r="G106" s="2"/>
      <c r="Q106" s="10"/>
    </row>
    <row r="107" spans="2:18" x14ac:dyDescent="0.2">
      <c r="B107" s="12"/>
      <c r="C107" s="7"/>
      <c r="G107" s="2"/>
      <c r="Q107" s="8"/>
    </row>
    <row r="108" spans="2:18" x14ac:dyDescent="0.2">
      <c r="C108" s="7"/>
      <c r="G108" s="2"/>
      <c r="Q108" s="9"/>
      <c r="R108" s="7"/>
    </row>
    <row r="109" spans="2:18" x14ac:dyDescent="0.2">
      <c r="C109" s="7"/>
      <c r="G109" s="2"/>
      <c r="Q109" s="9"/>
      <c r="R109" s="7"/>
    </row>
    <row r="110" spans="2:18" x14ac:dyDescent="0.2">
      <c r="C110" s="7"/>
      <c r="G110" s="2"/>
      <c r="Q110" s="9"/>
      <c r="R110" s="7"/>
    </row>
    <row r="111" spans="2:18" x14ac:dyDescent="0.2">
      <c r="C111" s="7"/>
      <c r="G111" s="2"/>
      <c r="Q111" s="9"/>
      <c r="R111" s="7"/>
    </row>
    <row r="112" spans="2:18" x14ac:dyDescent="0.2">
      <c r="C112" s="7"/>
      <c r="G112" s="2"/>
      <c r="Q112" s="8"/>
    </row>
    <row r="113" spans="2:18" x14ac:dyDescent="0.2">
      <c r="B113" s="12"/>
      <c r="C113" s="7"/>
      <c r="G113" s="2"/>
      <c r="Q113" s="10"/>
    </row>
    <row r="114" spans="2:18" x14ac:dyDescent="0.2">
      <c r="B114" s="12"/>
      <c r="C114" s="7"/>
      <c r="G114" s="2"/>
      <c r="Q114" s="10"/>
    </row>
    <row r="115" spans="2:18" x14ac:dyDescent="0.2">
      <c r="B115" s="12"/>
      <c r="C115" s="7"/>
      <c r="G115" s="2"/>
      <c r="Q115" s="10"/>
    </row>
    <row r="116" spans="2:18" x14ac:dyDescent="0.2">
      <c r="B116" s="12"/>
      <c r="C116" s="7"/>
      <c r="G116" s="2"/>
      <c r="Q116" s="10"/>
    </row>
    <row r="117" spans="2:18" x14ac:dyDescent="0.2">
      <c r="B117" s="12"/>
      <c r="C117" s="7"/>
      <c r="G117" s="2"/>
      <c r="Q117" s="8"/>
    </row>
    <row r="118" spans="2:18" x14ac:dyDescent="0.2">
      <c r="C118" s="7"/>
      <c r="G118" s="2"/>
      <c r="Q118" s="9"/>
      <c r="R118" s="7"/>
    </row>
    <row r="119" spans="2:18" x14ac:dyDescent="0.2">
      <c r="C119" s="7"/>
      <c r="G119" s="2"/>
      <c r="Q119" s="9"/>
      <c r="R119" s="7"/>
    </row>
    <row r="120" spans="2:18" x14ac:dyDescent="0.2">
      <c r="C120" s="7"/>
      <c r="G120" s="2"/>
      <c r="Q120" s="9"/>
      <c r="R120" s="7"/>
    </row>
    <row r="121" spans="2:18" x14ac:dyDescent="0.2">
      <c r="C121" s="7"/>
      <c r="G121" s="2"/>
      <c r="Q121" s="9"/>
      <c r="R121" s="7"/>
    </row>
    <row r="122" spans="2:18" x14ac:dyDescent="0.2">
      <c r="C122" s="7"/>
      <c r="G122" s="2"/>
      <c r="Q122" s="8"/>
    </row>
    <row r="123" spans="2:18" x14ac:dyDescent="0.2">
      <c r="C123" s="7"/>
      <c r="G123" s="2"/>
      <c r="Q123" s="10"/>
    </row>
    <row r="124" spans="2:18" x14ac:dyDescent="0.2">
      <c r="C124" s="7"/>
      <c r="G124" s="2"/>
      <c r="Q124" s="10"/>
    </row>
    <row r="125" spans="2:18" x14ac:dyDescent="0.2">
      <c r="C125" s="7"/>
      <c r="G125" s="2"/>
      <c r="Q125" s="10"/>
    </row>
    <row r="126" spans="2:18" x14ac:dyDescent="0.2">
      <c r="C126" s="7"/>
      <c r="G126" s="2"/>
      <c r="Q126" s="10"/>
    </row>
    <row r="127" spans="2:18" x14ac:dyDescent="0.2">
      <c r="C127" s="7"/>
      <c r="G127" s="2"/>
      <c r="Q127" s="8"/>
    </row>
    <row r="128" spans="2:18" x14ac:dyDescent="0.2">
      <c r="B128" s="139"/>
      <c r="C128" s="7"/>
      <c r="G128" s="2"/>
      <c r="Q128" s="10"/>
    </row>
    <row r="129" spans="1:18" x14ac:dyDescent="0.2">
      <c r="B129" s="139"/>
      <c r="C129" s="7"/>
      <c r="G129" s="2"/>
      <c r="Q129" s="10"/>
    </row>
    <row r="130" spans="1:18" x14ac:dyDescent="0.2">
      <c r="B130" s="12"/>
      <c r="C130" s="7"/>
      <c r="G130" s="2"/>
      <c r="Q130" s="10"/>
    </row>
    <row r="131" spans="1:18" x14ac:dyDescent="0.2">
      <c r="B131" s="12"/>
      <c r="C131" s="7"/>
      <c r="G131" s="2"/>
      <c r="Q131" s="10"/>
    </row>
    <row r="132" spans="1:18" x14ac:dyDescent="0.2">
      <c r="B132" s="12"/>
      <c r="C132" s="7"/>
      <c r="G132" s="2"/>
      <c r="Q132" s="8"/>
    </row>
    <row r="133" spans="1:18" x14ac:dyDescent="0.2"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</row>
    <row r="134" spans="1:18" x14ac:dyDescent="0.2">
      <c r="A134" s="47"/>
      <c r="C134" s="7"/>
      <c r="G134" s="2"/>
      <c r="Q134" s="9"/>
      <c r="R134" s="7"/>
    </row>
    <row r="135" spans="1:18" x14ac:dyDescent="0.2">
      <c r="C135" s="7"/>
      <c r="G135" s="2"/>
      <c r="Q135" s="9"/>
      <c r="R135" s="7"/>
    </row>
    <row r="136" spans="1:18" x14ac:dyDescent="0.2">
      <c r="C136" s="7"/>
      <c r="G136" s="2"/>
      <c r="Q136" s="9"/>
      <c r="R136" s="7"/>
    </row>
    <row r="137" spans="1:18" x14ac:dyDescent="0.2">
      <c r="C137" s="7"/>
      <c r="G137" s="2"/>
      <c r="Q137" s="9"/>
      <c r="R137" s="7"/>
    </row>
    <row r="138" spans="1:18" x14ac:dyDescent="0.2">
      <c r="C138" s="7"/>
      <c r="G138" s="2"/>
      <c r="Q138" s="8"/>
    </row>
    <row r="139" spans="1:18" x14ac:dyDescent="0.2">
      <c r="B139" s="12"/>
      <c r="C139" s="7"/>
      <c r="G139" s="2"/>
      <c r="Q139" s="10"/>
    </row>
    <row r="140" spans="1:18" x14ac:dyDescent="0.2">
      <c r="B140" s="12"/>
      <c r="C140" s="7"/>
      <c r="G140" s="2"/>
      <c r="Q140" s="10"/>
    </row>
    <row r="141" spans="1:18" x14ac:dyDescent="0.2">
      <c r="B141" s="12"/>
      <c r="C141" s="7"/>
      <c r="G141" s="2"/>
      <c r="Q141" s="10"/>
    </row>
    <row r="142" spans="1:18" x14ac:dyDescent="0.2">
      <c r="B142" s="12"/>
      <c r="C142" s="7"/>
      <c r="G142" s="2"/>
      <c r="Q142" s="10"/>
    </row>
    <row r="143" spans="1:18" x14ac:dyDescent="0.2">
      <c r="B143" s="12"/>
      <c r="C143" s="7"/>
      <c r="G143" s="2"/>
      <c r="Q143" s="8"/>
    </row>
    <row r="144" spans="1:18" x14ac:dyDescent="0.2">
      <c r="C144" s="7"/>
      <c r="G144" s="2"/>
      <c r="Q144" s="9"/>
      <c r="R144" s="7"/>
    </row>
    <row r="145" spans="2:18" x14ac:dyDescent="0.2">
      <c r="C145" s="7"/>
      <c r="G145" s="2"/>
      <c r="Q145" s="9"/>
      <c r="R145" s="7"/>
    </row>
    <row r="146" spans="2:18" x14ac:dyDescent="0.2">
      <c r="C146" s="7"/>
      <c r="G146" s="2"/>
      <c r="Q146" s="9"/>
      <c r="R146" s="7"/>
    </row>
    <row r="147" spans="2:18" x14ac:dyDescent="0.2">
      <c r="C147" s="7"/>
      <c r="G147" s="2"/>
      <c r="Q147" s="9"/>
      <c r="R147" s="7"/>
    </row>
    <row r="148" spans="2:18" x14ac:dyDescent="0.2">
      <c r="C148" s="7"/>
      <c r="G148" s="2"/>
      <c r="Q148" s="8"/>
    </row>
    <row r="149" spans="2:18" x14ac:dyDescent="0.2">
      <c r="B149" s="12"/>
      <c r="C149" s="7"/>
      <c r="G149" s="2"/>
      <c r="Q149" s="10"/>
    </row>
    <row r="150" spans="2:18" x14ac:dyDescent="0.2">
      <c r="B150" s="12"/>
      <c r="C150" s="7"/>
      <c r="G150" s="2"/>
      <c r="Q150" s="10"/>
    </row>
    <row r="151" spans="2:18" x14ac:dyDescent="0.2">
      <c r="B151" s="12"/>
      <c r="C151" s="7"/>
      <c r="G151" s="2"/>
      <c r="Q151" s="10"/>
    </row>
    <row r="152" spans="2:18" x14ac:dyDescent="0.2">
      <c r="B152" s="12"/>
      <c r="C152" s="7"/>
      <c r="G152" s="2"/>
      <c r="Q152" s="10"/>
    </row>
    <row r="153" spans="2:18" x14ac:dyDescent="0.2">
      <c r="B153" s="12"/>
      <c r="C153" s="7"/>
      <c r="G153" s="2"/>
      <c r="Q153" s="8"/>
    </row>
    <row r="154" spans="2:18" x14ac:dyDescent="0.2">
      <c r="C154" s="7"/>
      <c r="G154" s="2"/>
      <c r="Q154" s="9"/>
      <c r="R154" s="7"/>
    </row>
    <row r="155" spans="2:18" ht="36.75" customHeight="1" x14ac:dyDescent="0.2">
      <c r="C155" s="7"/>
      <c r="G155" s="2"/>
      <c r="Q155" s="9"/>
      <c r="R155" s="7"/>
    </row>
    <row r="156" spans="2:18" x14ac:dyDescent="0.2">
      <c r="C156" s="7"/>
      <c r="G156" s="2"/>
      <c r="Q156" s="9"/>
      <c r="R156" s="7"/>
    </row>
    <row r="157" spans="2:18" x14ac:dyDescent="0.2">
      <c r="C157" s="7"/>
      <c r="G157" s="2"/>
      <c r="Q157" s="9"/>
      <c r="R157" s="7"/>
    </row>
    <row r="158" spans="2:18" x14ac:dyDescent="0.2">
      <c r="C158" s="7"/>
      <c r="G158" s="2"/>
      <c r="Q158" s="8"/>
    </row>
    <row r="159" spans="2:18" x14ac:dyDescent="0.2">
      <c r="B159" s="12"/>
      <c r="C159" s="7"/>
      <c r="G159" s="2"/>
      <c r="Q159" s="10"/>
    </row>
    <row r="160" spans="2:18" x14ac:dyDescent="0.2">
      <c r="B160" s="12"/>
      <c r="C160" s="7"/>
      <c r="G160" s="2"/>
      <c r="Q160" s="10"/>
    </row>
    <row r="161" spans="2:18" x14ac:dyDescent="0.2">
      <c r="B161" s="12"/>
      <c r="C161" s="7"/>
      <c r="G161" s="2"/>
      <c r="Q161" s="10"/>
    </row>
    <row r="162" spans="2:18" x14ac:dyDescent="0.2">
      <c r="B162" s="12"/>
      <c r="C162" s="7"/>
      <c r="G162" s="2"/>
      <c r="Q162" s="10"/>
    </row>
    <row r="163" spans="2:18" x14ac:dyDescent="0.2">
      <c r="B163" s="12"/>
      <c r="C163" s="7"/>
      <c r="G163" s="2"/>
      <c r="Q163" s="8"/>
    </row>
    <row r="164" spans="2:18" x14ac:dyDescent="0.2">
      <c r="C164" s="7"/>
      <c r="G164" s="2"/>
      <c r="Q164" s="9"/>
      <c r="R164" s="7"/>
    </row>
    <row r="165" spans="2:18" x14ac:dyDescent="0.2">
      <c r="C165" s="7"/>
      <c r="G165" s="2"/>
      <c r="Q165" s="9"/>
      <c r="R165" s="7"/>
    </row>
    <row r="166" spans="2:18" x14ac:dyDescent="0.2">
      <c r="C166" s="7"/>
      <c r="G166" s="2"/>
      <c r="Q166" s="9"/>
      <c r="R166" s="7"/>
    </row>
    <row r="167" spans="2:18" x14ac:dyDescent="0.2">
      <c r="C167" s="7"/>
      <c r="G167" s="2"/>
      <c r="Q167" s="9"/>
      <c r="R167" s="7"/>
    </row>
    <row r="168" spans="2:18" x14ac:dyDescent="0.2">
      <c r="C168" s="7"/>
      <c r="G168" s="2"/>
      <c r="Q168" s="8"/>
    </row>
    <row r="169" spans="2:18" x14ac:dyDescent="0.2">
      <c r="B169" s="12"/>
      <c r="C169" s="7"/>
      <c r="G169" s="2"/>
      <c r="Q169" s="10"/>
    </row>
    <row r="170" spans="2:18" x14ac:dyDescent="0.2">
      <c r="B170" s="12"/>
      <c r="C170" s="7"/>
      <c r="G170" s="2"/>
      <c r="Q170" s="10"/>
    </row>
    <row r="171" spans="2:18" x14ac:dyDescent="0.2">
      <c r="B171" s="12"/>
      <c r="C171" s="7"/>
      <c r="G171" s="2"/>
      <c r="Q171" s="10"/>
    </row>
    <row r="172" spans="2:18" x14ac:dyDescent="0.2">
      <c r="B172" s="12"/>
      <c r="C172" s="7"/>
      <c r="G172" s="2"/>
      <c r="Q172" s="10"/>
    </row>
    <row r="173" spans="2:18" x14ac:dyDescent="0.2">
      <c r="B173" s="12"/>
      <c r="C173" s="7"/>
      <c r="G173" s="2"/>
      <c r="Q173" s="8"/>
    </row>
    <row r="174" spans="2:18" x14ac:dyDescent="0.2">
      <c r="C174" s="7"/>
      <c r="G174" s="2"/>
      <c r="Q174" s="10"/>
    </row>
    <row r="175" spans="2:18" x14ac:dyDescent="0.2">
      <c r="C175" s="7"/>
      <c r="G175" s="2"/>
      <c r="Q175" s="10"/>
    </row>
    <row r="176" spans="2:18" x14ac:dyDescent="0.2">
      <c r="C176" s="7"/>
      <c r="G176" s="2"/>
      <c r="Q176" s="10"/>
    </row>
    <row r="177" spans="2:18" x14ac:dyDescent="0.2">
      <c r="C177" s="7"/>
      <c r="G177" s="2"/>
      <c r="Q177" s="10"/>
    </row>
    <row r="178" spans="2:18" x14ac:dyDescent="0.2">
      <c r="C178" s="7"/>
      <c r="G178" s="2"/>
      <c r="Q178" s="8"/>
    </row>
    <row r="179" spans="2:18" x14ac:dyDescent="0.2">
      <c r="C179" s="7"/>
      <c r="G179" s="2"/>
      <c r="Q179" s="9"/>
      <c r="R179" s="7"/>
    </row>
    <row r="180" spans="2:18" x14ac:dyDescent="0.2">
      <c r="C180" s="7"/>
      <c r="G180" s="2"/>
      <c r="Q180" s="9"/>
      <c r="R180" s="7"/>
    </row>
    <row r="181" spans="2:18" x14ac:dyDescent="0.2">
      <c r="C181" s="7"/>
      <c r="G181" s="2"/>
      <c r="Q181" s="9"/>
      <c r="R181" s="7"/>
    </row>
    <row r="182" spans="2:18" x14ac:dyDescent="0.2">
      <c r="C182" s="7"/>
      <c r="G182" s="2"/>
      <c r="Q182" s="9"/>
      <c r="R182" s="7"/>
    </row>
    <row r="183" spans="2:18" x14ac:dyDescent="0.2">
      <c r="C183" s="7"/>
      <c r="G183" s="2"/>
      <c r="Q183" s="8"/>
    </row>
    <row r="184" spans="2:18" x14ac:dyDescent="0.2">
      <c r="B184" s="12"/>
      <c r="C184" s="7"/>
      <c r="G184" s="2"/>
      <c r="Q184" s="10"/>
    </row>
    <row r="185" spans="2:18" x14ac:dyDescent="0.2">
      <c r="B185" s="12"/>
      <c r="C185" s="7"/>
      <c r="G185" s="2"/>
      <c r="Q185" s="10"/>
    </row>
    <row r="186" spans="2:18" x14ac:dyDescent="0.2">
      <c r="B186" s="12"/>
      <c r="C186" s="7"/>
      <c r="G186" s="2"/>
      <c r="Q186" s="10"/>
    </row>
    <row r="187" spans="2:18" x14ac:dyDescent="0.2">
      <c r="B187" s="12"/>
      <c r="C187" s="7"/>
      <c r="G187" s="2"/>
      <c r="Q187" s="10"/>
    </row>
    <row r="188" spans="2:18" x14ac:dyDescent="0.2">
      <c r="B188" s="12"/>
      <c r="C188" s="7"/>
      <c r="G188" s="2"/>
      <c r="Q188" s="8"/>
    </row>
    <row r="189" spans="2:18" x14ac:dyDescent="0.2">
      <c r="C189" s="7"/>
      <c r="G189" s="2"/>
      <c r="Q189" s="10"/>
    </row>
    <row r="190" spans="2:18" x14ac:dyDescent="0.2">
      <c r="C190" s="7"/>
      <c r="G190" s="2"/>
      <c r="Q190" s="10"/>
    </row>
    <row r="191" spans="2:18" x14ac:dyDescent="0.2">
      <c r="C191" s="7"/>
      <c r="G191" s="2"/>
      <c r="Q191" s="10"/>
    </row>
    <row r="192" spans="2:18" x14ac:dyDescent="0.2">
      <c r="C192" s="7"/>
      <c r="G192" s="2"/>
      <c r="Q192" s="10"/>
    </row>
    <row r="193" spans="2:18" x14ac:dyDescent="0.2">
      <c r="C193" s="7"/>
      <c r="G193" s="2"/>
      <c r="Q193" s="8"/>
    </row>
    <row r="194" spans="2:18" x14ac:dyDescent="0.2">
      <c r="C194" s="7"/>
      <c r="G194" s="2"/>
      <c r="Q194" s="9"/>
      <c r="R194" s="7"/>
    </row>
    <row r="195" spans="2:18" x14ac:dyDescent="0.2">
      <c r="C195" s="7"/>
      <c r="G195" s="2"/>
      <c r="Q195" s="9"/>
      <c r="R195" s="7"/>
    </row>
    <row r="196" spans="2:18" x14ac:dyDescent="0.2">
      <c r="C196" s="7"/>
      <c r="G196" s="2"/>
      <c r="Q196" s="9"/>
      <c r="R196" s="7"/>
    </row>
    <row r="197" spans="2:18" x14ac:dyDescent="0.2">
      <c r="C197" s="7"/>
      <c r="G197" s="2"/>
      <c r="Q197" s="9"/>
      <c r="R197" s="7"/>
    </row>
    <row r="198" spans="2:18" x14ac:dyDescent="0.2">
      <c r="C198" s="7"/>
      <c r="G198" s="2"/>
      <c r="Q198" s="8"/>
    </row>
    <row r="199" spans="2:18" x14ac:dyDescent="0.2">
      <c r="B199" s="12"/>
      <c r="C199" s="7"/>
      <c r="G199" s="2"/>
      <c r="Q199" s="10"/>
    </row>
    <row r="200" spans="2:18" x14ac:dyDescent="0.2">
      <c r="B200" s="12"/>
      <c r="C200" s="7"/>
      <c r="G200" s="2"/>
      <c r="Q200" s="10"/>
    </row>
    <row r="201" spans="2:18" x14ac:dyDescent="0.2">
      <c r="B201" s="12"/>
      <c r="C201" s="7"/>
      <c r="G201" s="2"/>
      <c r="Q201" s="10"/>
    </row>
    <row r="202" spans="2:18" x14ac:dyDescent="0.2">
      <c r="B202" s="12"/>
      <c r="C202" s="7"/>
      <c r="G202" s="2"/>
      <c r="Q202" s="10"/>
    </row>
    <row r="203" spans="2:18" x14ac:dyDescent="0.2">
      <c r="B203" s="12"/>
      <c r="C203" s="7"/>
      <c r="G203" s="2"/>
      <c r="Q203" s="8"/>
    </row>
    <row r="204" spans="2:18" x14ac:dyDescent="0.2">
      <c r="C204" s="7"/>
      <c r="G204" s="2"/>
      <c r="Q204" s="9"/>
      <c r="R204" s="7"/>
    </row>
    <row r="205" spans="2:18" x14ac:dyDescent="0.2">
      <c r="C205" s="7"/>
      <c r="G205" s="2"/>
      <c r="Q205" s="9"/>
      <c r="R205" s="7"/>
    </row>
    <row r="206" spans="2:18" x14ac:dyDescent="0.2">
      <c r="C206" s="7"/>
      <c r="G206" s="2"/>
      <c r="Q206" s="9"/>
      <c r="R206" s="7"/>
    </row>
    <row r="207" spans="2:18" x14ac:dyDescent="0.2">
      <c r="C207" s="7"/>
      <c r="G207" s="2"/>
      <c r="Q207" s="9"/>
      <c r="R207" s="7"/>
    </row>
    <row r="208" spans="2:18" x14ac:dyDescent="0.2">
      <c r="C208" s="7"/>
      <c r="G208" s="2"/>
      <c r="Q208" s="8"/>
    </row>
    <row r="209" spans="2:18" x14ac:dyDescent="0.2">
      <c r="B209" s="12"/>
      <c r="C209" s="7"/>
      <c r="G209" s="2"/>
      <c r="Q209" s="10"/>
    </row>
    <row r="210" spans="2:18" x14ac:dyDescent="0.2">
      <c r="B210" s="12"/>
      <c r="C210" s="7"/>
      <c r="G210" s="2"/>
      <c r="Q210" s="10"/>
    </row>
    <row r="211" spans="2:18" x14ac:dyDescent="0.2">
      <c r="B211" s="12"/>
      <c r="C211" s="7"/>
      <c r="G211" s="2"/>
      <c r="Q211" s="10"/>
    </row>
    <row r="212" spans="2:18" x14ac:dyDescent="0.2">
      <c r="B212" s="12"/>
      <c r="C212" s="7"/>
      <c r="G212" s="2"/>
      <c r="Q212" s="10"/>
    </row>
    <row r="213" spans="2:18" x14ac:dyDescent="0.2">
      <c r="B213" s="12"/>
      <c r="C213" s="7"/>
      <c r="G213" s="2"/>
      <c r="Q213" s="8"/>
    </row>
    <row r="214" spans="2:18" x14ac:dyDescent="0.2">
      <c r="C214" s="7"/>
      <c r="G214" s="2"/>
      <c r="Q214" s="9"/>
      <c r="R214" s="7"/>
    </row>
    <row r="215" spans="2:18" x14ac:dyDescent="0.2">
      <c r="C215" s="7"/>
      <c r="G215" s="2"/>
      <c r="Q215" s="9"/>
      <c r="R215" s="7"/>
    </row>
    <row r="216" spans="2:18" x14ac:dyDescent="0.2">
      <c r="C216" s="7"/>
      <c r="G216" s="2"/>
      <c r="Q216" s="9"/>
      <c r="R216" s="7"/>
    </row>
    <row r="217" spans="2:18" x14ac:dyDescent="0.2">
      <c r="C217" s="7"/>
      <c r="G217" s="2"/>
      <c r="Q217" s="9"/>
      <c r="R217" s="7"/>
    </row>
    <row r="218" spans="2:18" x14ac:dyDescent="0.2">
      <c r="C218" s="7"/>
      <c r="G218" s="2"/>
      <c r="Q218" s="8"/>
    </row>
    <row r="219" spans="2:18" x14ac:dyDescent="0.2">
      <c r="B219" s="12"/>
      <c r="C219" s="7"/>
      <c r="G219" s="2"/>
      <c r="Q219" s="10"/>
    </row>
    <row r="220" spans="2:18" x14ac:dyDescent="0.2">
      <c r="B220" s="12"/>
      <c r="C220" s="7"/>
      <c r="G220" s="2"/>
      <c r="Q220" s="10"/>
    </row>
    <row r="221" spans="2:18" x14ac:dyDescent="0.2">
      <c r="B221" s="12"/>
      <c r="C221" s="7"/>
      <c r="G221" s="2"/>
      <c r="Q221" s="10"/>
    </row>
    <row r="222" spans="2:18" x14ac:dyDescent="0.2">
      <c r="B222" s="12"/>
      <c r="C222" s="7"/>
      <c r="G222" s="2"/>
      <c r="Q222" s="10"/>
    </row>
    <row r="223" spans="2:18" x14ac:dyDescent="0.2">
      <c r="B223" s="12"/>
      <c r="C223" s="7"/>
      <c r="G223" s="2"/>
      <c r="Q223" s="8"/>
    </row>
    <row r="224" spans="2:18" x14ac:dyDescent="0.2">
      <c r="C224" s="7"/>
      <c r="G224" s="2"/>
      <c r="Q224" s="9"/>
      <c r="R224" s="7"/>
    </row>
    <row r="225" spans="1:21" x14ac:dyDescent="0.2">
      <c r="C225" s="7"/>
      <c r="G225" s="2"/>
      <c r="Q225" s="9"/>
      <c r="R225" s="7"/>
    </row>
    <row r="226" spans="1:21" x14ac:dyDescent="0.2">
      <c r="C226" s="7"/>
      <c r="G226" s="2"/>
      <c r="Q226" s="9"/>
      <c r="R226" s="7"/>
    </row>
    <row r="227" spans="1:21" x14ac:dyDescent="0.2">
      <c r="C227" s="7"/>
      <c r="G227" s="2"/>
      <c r="Q227" s="9"/>
      <c r="R227" s="7"/>
    </row>
    <row r="228" spans="1:21" ht="47.25" customHeight="1" x14ac:dyDescent="0.2">
      <c r="C228" s="7"/>
      <c r="G228" s="2"/>
      <c r="Q228" s="8"/>
    </row>
    <row r="229" spans="1:21" x14ac:dyDescent="0.2">
      <c r="B229" s="12"/>
      <c r="C229" s="7"/>
      <c r="G229" s="2"/>
      <c r="Q229" s="10"/>
    </row>
    <row r="230" spans="1:21" x14ac:dyDescent="0.2">
      <c r="B230" s="12"/>
      <c r="C230" s="7"/>
      <c r="G230" s="2"/>
      <c r="Q230" s="10"/>
    </row>
    <row r="231" spans="1:21" x14ac:dyDescent="0.2">
      <c r="B231" s="12"/>
      <c r="C231" s="7"/>
      <c r="G231" s="2"/>
      <c r="Q231" s="10"/>
    </row>
    <row r="232" spans="1:21" x14ac:dyDescent="0.2">
      <c r="B232" s="12"/>
      <c r="C232" s="7"/>
      <c r="G232" s="2"/>
      <c r="Q232" s="10"/>
      <c r="T232" s="2">
        <f>SUM(Q:Q)</f>
        <v>16421.2</v>
      </c>
      <c r="U232" s="2">
        <f>T232/1700</f>
        <v>9.6595294117647068</v>
      </c>
    </row>
    <row r="233" spans="1:21" x14ac:dyDescent="0.2">
      <c r="B233" s="12"/>
      <c r="C233" s="7"/>
      <c r="G233" s="2"/>
      <c r="Q233" s="8"/>
    </row>
    <row r="234" spans="1:21" x14ac:dyDescent="0.2"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</row>
    <row r="235" spans="1:21" x14ac:dyDescent="0.2">
      <c r="A235" s="47"/>
      <c r="C235" s="7"/>
      <c r="G235" s="2"/>
      <c r="Q235" s="9"/>
      <c r="R235" s="7"/>
    </row>
    <row r="236" spans="1:21" x14ac:dyDescent="0.2">
      <c r="C236" s="7"/>
      <c r="G236" s="2"/>
      <c r="Q236" s="9"/>
      <c r="R236" s="7"/>
    </row>
    <row r="237" spans="1:21" x14ac:dyDescent="0.2">
      <c r="C237" s="7"/>
      <c r="G237" s="2"/>
      <c r="Q237" s="9"/>
      <c r="R237" s="7"/>
    </row>
    <row r="238" spans="1:21" x14ac:dyDescent="0.2">
      <c r="C238" s="7"/>
      <c r="G238" s="2"/>
      <c r="Q238" s="9"/>
      <c r="R238" s="7"/>
    </row>
    <row r="239" spans="1:21" x14ac:dyDescent="0.2">
      <c r="C239" s="7"/>
      <c r="D239"/>
      <c r="G239" s="2"/>
      <c r="Q239" s="9"/>
      <c r="R239" s="7"/>
    </row>
    <row r="240" spans="1:21" x14ac:dyDescent="0.2">
      <c r="C240" s="7"/>
      <c r="G240" s="2"/>
      <c r="Q240" s="8"/>
    </row>
    <row r="241" spans="2:18" x14ac:dyDescent="0.2">
      <c r="B241" s="12"/>
      <c r="C241" s="7"/>
      <c r="G241" s="2"/>
      <c r="Q241" s="10"/>
    </row>
    <row r="242" spans="2:18" x14ac:dyDescent="0.2">
      <c r="B242" s="12"/>
      <c r="C242" s="7"/>
      <c r="G242" s="2"/>
      <c r="Q242" s="10"/>
    </row>
    <row r="243" spans="2:18" x14ac:dyDescent="0.2">
      <c r="B243" s="12"/>
      <c r="C243" s="7"/>
      <c r="G243" s="2"/>
      <c r="Q243" s="10"/>
    </row>
    <row r="244" spans="2:18" x14ac:dyDescent="0.2">
      <c r="B244" s="12"/>
      <c r="C244" s="7"/>
      <c r="G244" s="2"/>
      <c r="Q244" s="10"/>
    </row>
    <row r="245" spans="2:18" x14ac:dyDescent="0.2">
      <c r="B245" s="12"/>
      <c r="C245" s="7"/>
      <c r="D245"/>
      <c r="G245" s="2"/>
      <c r="Q245" s="8"/>
    </row>
    <row r="246" spans="2:18" x14ac:dyDescent="0.2">
      <c r="C246" s="7"/>
      <c r="G246" s="2"/>
      <c r="Q246" s="9"/>
      <c r="R246" s="7"/>
    </row>
    <row r="247" spans="2:18" x14ac:dyDescent="0.2">
      <c r="C247" s="7"/>
      <c r="G247" s="2"/>
      <c r="Q247" s="9"/>
      <c r="R247" s="7"/>
    </row>
    <row r="248" spans="2:18" x14ac:dyDescent="0.2">
      <c r="C248" s="7"/>
      <c r="G248" s="2"/>
      <c r="Q248" s="9"/>
      <c r="R248" s="7"/>
    </row>
    <row r="249" spans="2:18" x14ac:dyDescent="0.2">
      <c r="C249" s="7"/>
      <c r="G249" s="2"/>
      <c r="Q249" s="9"/>
      <c r="R249" s="7"/>
    </row>
    <row r="250" spans="2:18" x14ac:dyDescent="0.2">
      <c r="C250" s="7"/>
      <c r="D250"/>
      <c r="G250" s="2"/>
      <c r="Q250" s="9"/>
      <c r="R250" s="7"/>
    </row>
    <row r="251" spans="2:18" x14ac:dyDescent="0.2">
      <c r="C251" s="7"/>
      <c r="G251" s="2"/>
      <c r="Q251" s="8"/>
    </row>
    <row r="252" spans="2:18" x14ac:dyDescent="0.2">
      <c r="B252" s="12"/>
      <c r="C252" s="7"/>
      <c r="G252" s="2"/>
      <c r="Q252" s="10"/>
    </row>
    <row r="253" spans="2:18" x14ac:dyDescent="0.2">
      <c r="B253" s="12"/>
      <c r="C253" s="7"/>
      <c r="G253" s="2"/>
      <c r="Q253" s="10"/>
    </row>
    <row r="254" spans="2:18" x14ac:dyDescent="0.2">
      <c r="B254" s="12"/>
      <c r="C254" s="7"/>
      <c r="G254" s="2"/>
      <c r="Q254" s="10"/>
    </row>
    <row r="255" spans="2:18" x14ac:dyDescent="0.2">
      <c r="B255" s="12"/>
      <c r="C255" s="7"/>
      <c r="G255" s="2"/>
      <c r="Q255" s="10"/>
    </row>
    <row r="256" spans="2:18" x14ac:dyDescent="0.2">
      <c r="B256" s="12"/>
      <c r="C256" s="7"/>
      <c r="D256"/>
      <c r="G256" s="2"/>
      <c r="Q256" s="8"/>
    </row>
    <row r="257" spans="2:18" x14ac:dyDescent="0.2">
      <c r="C257" s="7"/>
      <c r="G257" s="2"/>
      <c r="Q257" s="9"/>
      <c r="R257" s="7"/>
    </row>
    <row r="258" spans="2:18" x14ac:dyDescent="0.2">
      <c r="C258" s="7"/>
      <c r="G258" s="2"/>
      <c r="Q258" s="9"/>
      <c r="R258" s="7"/>
    </row>
    <row r="259" spans="2:18" x14ac:dyDescent="0.2">
      <c r="C259" s="7"/>
      <c r="G259" s="2"/>
      <c r="Q259" s="9"/>
      <c r="R259" s="7"/>
    </row>
    <row r="260" spans="2:18" x14ac:dyDescent="0.2">
      <c r="C260" s="7"/>
      <c r="G260" s="2"/>
      <c r="Q260" s="9"/>
      <c r="R260" s="7"/>
    </row>
    <row r="261" spans="2:18" x14ac:dyDescent="0.2">
      <c r="C261" s="7"/>
      <c r="D261"/>
      <c r="G261" s="2"/>
      <c r="Q261" s="9"/>
      <c r="R261" s="7"/>
    </row>
    <row r="262" spans="2:18" x14ac:dyDescent="0.2">
      <c r="C262" s="7"/>
      <c r="G262" s="2"/>
      <c r="Q262" s="8"/>
    </row>
    <row r="263" spans="2:18" x14ac:dyDescent="0.2">
      <c r="B263" s="12"/>
      <c r="C263" s="7"/>
      <c r="G263" s="2"/>
      <c r="Q263" s="10"/>
    </row>
    <row r="264" spans="2:18" x14ac:dyDescent="0.2">
      <c r="B264" s="12"/>
      <c r="C264" s="7"/>
      <c r="G264" s="2"/>
      <c r="Q264" s="10"/>
    </row>
    <row r="265" spans="2:18" x14ac:dyDescent="0.2">
      <c r="B265" s="12"/>
      <c r="C265" s="7"/>
      <c r="G265" s="2"/>
      <c r="Q265" s="10"/>
    </row>
    <row r="266" spans="2:18" x14ac:dyDescent="0.2">
      <c r="B266" s="12"/>
      <c r="C266" s="7"/>
      <c r="G266" s="2"/>
      <c r="Q266" s="10"/>
    </row>
    <row r="267" spans="2:18" x14ac:dyDescent="0.2">
      <c r="B267" s="12"/>
      <c r="C267" s="7"/>
      <c r="D267"/>
      <c r="G267" s="2"/>
      <c r="Q267" s="8"/>
    </row>
    <row r="268" spans="2:18" x14ac:dyDescent="0.2">
      <c r="C268" s="7"/>
      <c r="G268" s="2"/>
      <c r="Q268" s="9"/>
      <c r="R268" s="7"/>
    </row>
    <row r="269" spans="2:18" x14ac:dyDescent="0.2">
      <c r="C269" s="7"/>
      <c r="G269" s="2"/>
      <c r="Q269" s="9"/>
      <c r="R269" s="7"/>
    </row>
    <row r="270" spans="2:18" x14ac:dyDescent="0.2">
      <c r="C270" s="7"/>
      <c r="G270" s="2"/>
      <c r="Q270" s="9"/>
      <c r="R270" s="7"/>
    </row>
    <row r="271" spans="2:18" x14ac:dyDescent="0.2">
      <c r="C271" s="7"/>
      <c r="G271" s="2"/>
      <c r="Q271" s="9"/>
      <c r="R271" s="7"/>
    </row>
    <row r="272" spans="2:18" x14ac:dyDescent="0.2">
      <c r="C272" s="7"/>
      <c r="D272"/>
      <c r="G272" s="2"/>
      <c r="Q272" s="9"/>
      <c r="R272" s="7"/>
    </row>
    <row r="273" spans="2:18" x14ac:dyDescent="0.2">
      <c r="C273" s="7"/>
      <c r="G273" s="2"/>
      <c r="Q273" s="8"/>
    </row>
    <row r="274" spans="2:18" x14ac:dyDescent="0.2">
      <c r="B274" s="12"/>
      <c r="C274" s="7"/>
      <c r="G274" s="2"/>
      <c r="Q274" s="10"/>
    </row>
    <row r="275" spans="2:18" x14ac:dyDescent="0.2">
      <c r="B275" s="12"/>
      <c r="C275" s="7"/>
      <c r="G275" s="2"/>
      <c r="Q275" s="10"/>
    </row>
    <row r="276" spans="2:18" x14ac:dyDescent="0.2">
      <c r="B276" s="12"/>
      <c r="C276" s="7"/>
      <c r="G276" s="2"/>
      <c r="Q276" s="10"/>
    </row>
    <row r="277" spans="2:18" x14ac:dyDescent="0.2">
      <c r="B277" s="12"/>
      <c r="C277" s="7"/>
      <c r="G277" s="2"/>
      <c r="Q277" s="10"/>
    </row>
    <row r="278" spans="2:18" x14ac:dyDescent="0.2">
      <c r="B278" s="12"/>
      <c r="C278" s="7"/>
      <c r="D278"/>
      <c r="G278" s="2"/>
      <c r="Q278" s="8"/>
    </row>
    <row r="279" spans="2:18" x14ac:dyDescent="0.2">
      <c r="C279" s="7"/>
      <c r="G279" s="2"/>
      <c r="Q279" s="10"/>
    </row>
    <row r="280" spans="2:18" x14ac:dyDescent="0.2">
      <c r="C280" s="7"/>
      <c r="G280" s="2"/>
      <c r="Q280" s="10"/>
    </row>
    <row r="281" spans="2:18" x14ac:dyDescent="0.2">
      <c r="C281" s="7"/>
      <c r="G281" s="2"/>
      <c r="Q281" s="10"/>
    </row>
    <row r="282" spans="2:18" x14ac:dyDescent="0.2">
      <c r="C282" s="7"/>
      <c r="G282" s="2"/>
      <c r="Q282" s="10"/>
    </row>
    <row r="283" spans="2:18" x14ac:dyDescent="0.2">
      <c r="C283" s="7"/>
      <c r="D283"/>
      <c r="G283" s="2"/>
      <c r="Q283" s="10"/>
    </row>
    <row r="284" spans="2:18" x14ac:dyDescent="0.2">
      <c r="C284" s="7"/>
      <c r="G284" s="2"/>
      <c r="Q284" s="8"/>
    </row>
    <row r="285" spans="2:18" x14ac:dyDescent="0.2">
      <c r="C285" s="7"/>
      <c r="G285" s="2"/>
      <c r="Q285" s="9"/>
      <c r="R285" s="7"/>
    </row>
    <row r="286" spans="2:18" x14ac:dyDescent="0.2">
      <c r="C286" s="7"/>
      <c r="G286" s="2"/>
      <c r="Q286" s="9"/>
      <c r="R286" s="7"/>
    </row>
    <row r="287" spans="2:18" x14ac:dyDescent="0.2">
      <c r="C287" s="7"/>
      <c r="G287" s="2"/>
      <c r="Q287" s="9"/>
      <c r="R287" s="7"/>
    </row>
    <row r="288" spans="2:18" x14ac:dyDescent="0.2">
      <c r="C288" s="7"/>
      <c r="G288" s="2"/>
      <c r="Q288" s="9"/>
      <c r="R288" s="7"/>
    </row>
    <row r="289" spans="2:18" x14ac:dyDescent="0.2">
      <c r="C289" s="7"/>
      <c r="D289"/>
      <c r="G289" s="2"/>
      <c r="Q289" s="9"/>
      <c r="R289" s="7"/>
    </row>
    <row r="290" spans="2:18" x14ac:dyDescent="0.2">
      <c r="C290" s="7"/>
      <c r="G290" s="2"/>
      <c r="Q290" s="8"/>
    </row>
    <row r="291" spans="2:18" x14ac:dyDescent="0.2">
      <c r="B291" s="12"/>
      <c r="C291" s="7"/>
      <c r="G291" s="2"/>
      <c r="Q291" s="10"/>
    </row>
    <row r="292" spans="2:18" x14ac:dyDescent="0.2">
      <c r="B292" s="12"/>
      <c r="C292" s="7"/>
      <c r="G292" s="2"/>
      <c r="Q292" s="10"/>
    </row>
    <row r="293" spans="2:18" x14ac:dyDescent="0.2">
      <c r="B293" s="12"/>
      <c r="C293" s="7"/>
      <c r="G293" s="2"/>
      <c r="Q293" s="10"/>
    </row>
    <row r="294" spans="2:18" x14ac:dyDescent="0.2">
      <c r="B294" s="12"/>
      <c r="C294" s="7"/>
      <c r="G294" s="2"/>
      <c r="Q294" s="10"/>
    </row>
    <row r="295" spans="2:18" x14ac:dyDescent="0.2">
      <c r="B295" s="12"/>
      <c r="C295" s="7"/>
      <c r="D295"/>
      <c r="G295" s="2"/>
      <c r="Q295" s="8"/>
    </row>
    <row r="296" spans="2:18" x14ac:dyDescent="0.2">
      <c r="C296" s="7"/>
      <c r="G296" s="2"/>
      <c r="Q296" s="10"/>
    </row>
    <row r="297" spans="2:18" x14ac:dyDescent="0.2">
      <c r="C297" s="7"/>
      <c r="G297" s="2"/>
      <c r="Q297" s="10"/>
    </row>
    <row r="298" spans="2:18" x14ac:dyDescent="0.2">
      <c r="C298" s="7"/>
      <c r="G298" s="2"/>
      <c r="Q298" s="10"/>
    </row>
    <row r="299" spans="2:18" x14ac:dyDescent="0.2">
      <c r="C299" s="7"/>
      <c r="G299" s="2"/>
      <c r="Q299" s="10"/>
    </row>
    <row r="300" spans="2:18" x14ac:dyDescent="0.2">
      <c r="C300" s="7"/>
      <c r="D300"/>
      <c r="G300" s="2"/>
      <c r="Q300" s="10"/>
    </row>
    <row r="301" spans="2:18" x14ac:dyDescent="0.2">
      <c r="C301" s="7"/>
      <c r="G301" s="2"/>
      <c r="Q301" s="8"/>
    </row>
    <row r="302" spans="2:18" x14ac:dyDescent="0.2">
      <c r="C302" s="7"/>
      <c r="G302" s="2"/>
      <c r="Q302" s="9"/>
      <c r="R302" s="7"/>
    </row>
    <row r="303" spans="2:18" x14ac:dyDescent="0.2">
      <c r="C303" s="7"/>
      <c r="G303" s="2"/>
      <c r="Q303" s="9"/>
      <c r="R303" s="7"/>
    </row>
    <row r="304" spans="2:18" x14ac:dyDescent="0.2">
      <c r="C304" s="7"/>
      <c r="G304" s="2"/>
      <c r="Q304" s="9"/>
      <c r="R304" s="7"/>
    </row>
    <row r="305" spans="2:18" x14ac:dyDescent="0.2">
      <c r="C305" s="7"/>
      <c r="G305" s="2"/>
      <c r="Q305" s="9"/>
      <c r="R305" s="7"/>
    </row>
    <row r="306" spans="2:18" x14ac:dyDescent="0.2">
      <c r="C306" s="7"/>
      <c r="D306"/>
      <c r="G306" s="2"/>
      <c r="Q306" s="8"/>
    </row>
    <row r="307" spans="2:18" x14ac:dyDescent="0.2">
      <c r="B307" s="12"/>
      <c r="C307" s="7"/>
      <c r="G307" s="2"/>
      <c r="Q307" s="10"/>
    </row>
    <row r="308" spans="2:18" x14ac:dyDescent="0.2">
      <c r="B308" s="12"/>
      <c r="C308" s="7"/>
      <c r="G308" s="2"/>
      <c r="Q308" s="10"/>
    </row>
    <row r="309" spans="2:18" x14ac:dyDescent="0.2">
      <c r="B309" s="12"/>
      <c r="C309" s="7"/>
      <c r="G309" s="2"/>
      <c r="Q309" s="10"/>
    </row>
    <row r="310" spans="2:18" x14ac:dyDescent="0.2">
      <c r="B310" s="12"/>
      <c r="C310" s="7"/>
      <c r="G310" s="2"/>
      <c r="Q310" s="10"/>
    </row>
    <row r="311" spans="2:18" x14ac:dyDescent="0.2">
      <c r="B311" s="12"/>
      <c r="C311" s="7"/>
      <c r="D311"/>
      <c r="G311" s="2"/>
      <c r="Q311" s="8"/>
    </row>
    <row r="312" spans="2:18" x14ac:dyDescent="0.2">
      <c r="C312" s="7"/>
      <c r="G312" s="2"/>
      <c r="Q312" s="9"/>
      <c r="R312" s="7"/>
    </row>
    <row r="313" spans="2:18" x14ac:dyDescent="0.2">
      <c r="C313" s="7"/>
      <c r="G313" s="2"/>
      <c r="Q313" s="9"/>
      <c r="R313" s="7"/>
    </row>
    <row r="314" spans="2:18" x14ac:dyDescent="0.2">
      <c r="C314" s="7"/>
      <c r="G314" s="2"/>
      <c r="Q314" s="9"/>
      <c r="R314" s="7"/>
    </row>
    <row r="315" spans="2:18" x14ac:dyDescent="0.2">
      <c r="C315" s="7"/>
      <c r="G315" s="2"/>
      <c r="Q315" s="9"/>
      <c r="R315" s="7"/>
    </row>
    <row r="316" spans="2:18" x14ac:dyDescent="0.2">
      <c r="C316" s="7"/>
      <c r="D316"/>
      <c r="G316" s="2"/>
      <c r="Q316" s="8"/>
    </row>
    <row r="317" spans="2:18" x14ac:dyDescent="0.2">
      <c r="B317" s="12"/>
      <c r="C317" s="7"/>
      <c r="G317" s="2"/>
      <c r="Q317" s="10"/>
    </row>
    <row r="318" spans="2:18" x14ac:dyDescent="0.2">
      <c r="B318" s="12"/>
      <c r="C318" s="7"/>
      <c r="G318" s="2"/>
      <c r="Q318" s="10"/>
    </row>
    <row r="319" spans="2:18" x14ac:dyDescent="0.2">
      <c r="B319" s="12"/>
      <c r="C319" s="7"/>
      <c r="G319" s="2"/>
      <c r="Q319" s="10"/>
    </row>
    <row r="320" spans="2:18" x14ac:dyDescent="0.2">
      <c r="B320" s="12"/>
      <c r="C320" s="7"/>
      <c r="G320" s="2"/>
      <c r="Q320" s="10"/>
    </row>
    <row r="321" spans="2:18" x14ac:dyDescent="0.2">
      <c r="B321" s="12"/>
      <c r="C321" s="7"/>
      <c r="D321"/>
      <c r="G321" s="2"/>
      <c r="Q321" s="8"/>
    </row>
    <row r="322" spans="2:18" x14ac:dyDescent="0.2">
      <c r="C322" s="7"/>
      <c r="G322" s="2"/>
      <c r="Q322" s="9"/>
      <c r="R322" s="7"/>
    </row>
    <row r="323" spans="2:18" x14ac:dyDescent="0.2">
      <c r="C323" s="7"/>
      <c r="G323" s="2"/>
      <c r="Q323" s="9"/>
      <c r="R323" s="7"/>
    </row>
    <row r="324" spans="2:18" x14ac:dyDescent="0.2">
      <c r="C324" s="7"/>
      <c r="G324" s="2"/>
      <c r="Q324" s="9"/>
      <c r="R324" s="7"/>
    </row>
    <row r="325" spans="2:18" x14ac:dyDescent="0.2">
      <c r="C325" s="7"/>
      <c r="G325" s="2"/>
      <c r="Q325" s="9"/>
      <c r="R325" s="7"/>
    </row>
    <row r="326" spans="2:18" x14ac:dyDescent="0.2">
      <c r="C326" s="7"/>
      <c r="D326"/>
      <c r="G326" s="2"/>
      <c r="Q326" s="9"/>
      <c r="R326" s="7"/>
    </row>
    <row r="327" spans="2:18" x14ac:dyDescent="0.2">
      <c r="C327" s="7"/>
      <c r="G327" s="2"/>
      <c r="Q327" s="8"/>
    </row>
    <row r="328" spans="2:18" x14ac:dyDescent="0.2">
      <c r="B328" s="12"/>
      <c r="C328" s="7"/>
      <c r="G328" s="2"/>
      <c r="Q328" s="10"/>
    </row>
    <row r="329" spans="2:18" x14ac:dyDescent="0.2">
      <c r="B329" s="12"/>
      <c r="C329" s="7"/>
      <c r="G329" s="2"/>
      <c r="Q329" s="10"/>
    </row>
    <row r="330" spans="2:18" x14ac:dyDescent="0.2">
      <c r="B330" s="12"/>
      <c r="C330" s="7"/>
      <c r="G330" s="2"/>
      <c r="Q330" s="10"/>
    </row>
    <row r="331" spans="2:18" x14ac:dyDescent="0.2">
      <c r="B331" s="12"/>
      <c r="C331" s="7"/>
      <c r="G331" s="2"/>
      <c r="Q331" s="10"/>
    </row>
    <row r="332" spans="2:18" x14ac:dyDescent="0.2">
      <c r="B332" s="12"/>
      <c r="C332" s="7"/>
      <c r="D332"/>
      <c r="G332" s="2"/>
      <c r="Q332" s="8"/>
    </row>
    <row r="333" spans="2:18" x14ac:dyDescent="0.2">
      <c r="C333" s="7"/>
      <c r="G333" s="2"/>
      <c r="Q333" s="9"/>
      <c r="R333" s="7"/>
    </row>
    <row r="334" spans="2:18" x14ac:dyDescent="0.2">
      <c r="C334" s="7"/>
      <c r="G334" s="2"/>
      <c r="Q334" s="9"/>
      <c r="R334" s="7"/>
    </row>
    <row r="335" spans="2:18" x14ac:dyDescent="0.2">
      <c r="C335" s="7"/>
      <c r="G335" s="2"/>
      <c r="Q335" s="9"/>
      <c r="R335" s="7"/>
    </row>
    <row r="336" spans="2:18" x14ac:dyDescent="0.2">
      <c r="C336" s="7"/>
      <c r="G336" s="2"/>
      <c r="Q336" s="9"/>
      <c r="R336" s="7"/>
    </row>
    <row r="337" spans="1:18" x14ac:dyDescent="0.2">
      <c r="C337" s="7"/>
      <c r="D337"/>
      <c r="G337" s="2"/>
      <c r="Q337" s="8"/>
    </row>
    <row r="338" spans="1:18" x14ac:dyDescent="0.2">
      <c r="B338" s="12"/>
      <c r="C338" s="7"/>
      <c r="G338" s="2"/>
      <c r="Q338" s="10"/>
    </row>
    <row r="339" spans="1:18" x14ac:dyDescent="0.2">
      <c r="B339" s="12"/>
      <c r="C339" s="7"/>
      <c r="G339" s="2"/>
      <c r="Q339" s="10"/>
    </row>
    <row r="340" spans="1:18" x14ac:dyDescent="0.2">
      <c r="B340" s="12"/>
      <c r="C340" s="7"/>
      <c r="G340" s="2"/>
      <c r="Q340" s="10"/>
    </row>
    <row r="341" spans="1:18" x14ac:dyDescent="0.2">
      <c r="B341" s="12"/>
      <c r="C341" s="7"/>
      <c r="D341"/>
      <c r="G341" s="2"/>
      <c r="Q341" s="10"/>
    </row>
    <row r="342" spans="1:18" x14ac:dyDescent="0.2">
      <c r="B342" s="12"/>
      <c r="C342" s="7"/>
      <c r="G342" s="2"/>
      <c r="Q342" s="8"/>
    </row>
    <row r="343" spans="1:18" x14ac:dyDescent="0.2">
      <c r="G343" s="2"/>
    </row>
    <row r="344" spans="1:18" x14ac:dyDescent="0.2">
      <c r="B344" s="18"/>
      <c r="C344" s="19"/>
      <c r="D344" s="19"/>
      <c r="E344" s="19"/>
      <c r="F344" s="19"/>
      <c r="G344" s="19"/>
      <c r="H344" s="19"/>
      <c r="I344" s="20"/>
      <c r="J344" s="19"/>
      <c r="K344" s="19"/>
      <c r="L344" s="19"/>
      <c r="M344" s="19"/>
      <c r="N344" s="19"/>
      <c r="O344" s="19"/>
      <c r="P344" s="19"/>
      <c r="Q344" s="19"/>
      <c r="R344" s="19"/>
    </row>
    <row r="345" spans="1:18" x14ac:dyDescent="0.2">
      <c r="A345" s="19"/>
    </row>
  </sheetData>
  <sheetProtection selectLockedCells="1" selectUnlockedCells="1"/>
  <mergeCells count="15">
    <mergeCell ref="S5:S14"/>
    <mergeCell ref="A4:R4"/>
    <mergeCell ref="B128:B129"/>
    <mergeCell ref="P5:R13"/>
    <mergeCell ref="E6:G6"/>
    <mergeCell ref="E7:G7"/>
    <mergeCell ref="A16:A20"/>
    <mergeCell ref="B16:B20"/>
    <mergeCell ref="E16:G16"/>
    <mergeCell ref="P16:R19"/>
    <mergeCell ref="A3:R3"/>
    <mergeCell ref="A5:A14"/>
    <mergeCell ref="B5:B14"/>
    <mergeCell ref="E5:G5"/>
    <mergeCell ref="A15:R15"/>
  </mergeCells>
  <pageMargins left="1.1811023622047243" right="0.78740157480314965" top="0.78740157480314965" bottom="0.78740157480314965" header="0.19685039370078741" footer="0.47244094488188976"/>
  <pageSetup paperSize="9" scale="50" firstPageNumber="0" orientation="portrait" horizontalDpi="300" verticalDpi="300" r:id="rId1"/>
  <headerFooter alignWithMargins="0">
    <oddHeader>&amp;L&amp;"Times New Roman,Обычный"&amp;12Objekts: Dzirnavu , bolderaja</oddHeader>
  </headerFooter>
  <colBreaks count="1" manualBreakCount="1">
    <brk id="18" max="10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A2BA1-3081-49D5-BDD5-6B8B084A431C}">
  <dimension ref="A1:X53"/>
  <sheetViews>
    <sheetView topLeftCell="A7" zoomScale="85" zoomScaleNormal="85" workbookViewId="0">
      <selection activeCell="A21" sqref="A21"/>
    </sheetView>
  </sheetViews>
  <sheetFormatPr defaultColWidth="11.5703125" defaultRowHeight="12.75" x14ac:dyDescent="0.2"/>
  <cols>
    <col min="1" max="1" width="20" style="59" bestFit="1" customWidth="1"/>
    <col min="2" max="2" width="13.7109375" style="59" bestFit="1" customWidth="1"/>
    <col min="3" max="3" width="12.42578125" style="59" bestFit="1" customWidth="1"/>
    <col min="4" max="4" width="12.7109375" style="59" bestFit="1" customWidth="1"/>
    <col min="5" max="5" width="10.85546875" style="59" bestFit="1" customWidth="1"/>
    <col min="6" max="6" width="9.28515625" style="59" bestFit="1" customWidth="1"/>
    <col min="7" max="7" width="11.7109375" style="59" bestFit="1" customWidth="1"/>
    <col min="8" max="8" width="15.140625" style="59" bestFit="1" customWidth="1"/>
    <col min="9" max="9" width="4.5703125" style="59" customWidth="1"/>
    <col min="10" max="10" width="15.5703125" style="106" bestFit="1" customWidth="1"/>
    <col min="11" max="11" width="13.7109375" style="59" bestFit="1" customWidth="1"/>
    <col min="12" max="12" width="12.85546875" style="59" bestFit="1" customWidth="1"/>
    <col min="13" max="13" width="12.7109375" style="59" bestFit="1" customWidth="1"/>
    <col min="14" max="14" width="13.5703125" style="59" bestFit="1" customWidth="1"/>
    <col min="15" max="15" width="13.28515625" style="59" customWidth="1"/>
    <col min="16" max="16" width="11.7109375" style="59" bestFit="1" customWidth="1"/>
    <col min="17" max="17" width="12.42578125" style="59" bestFit="1" customWidth="1"/>
    <col min="18" max="18" width="5.7109375" style="59" bestFit="1" customWidth="1"/>
    <col min="19" max="19" width="11.42578125" style="59" customWidth="1"/>
    <col min="20" max="20" width="5.7109375" style="59" customWidth="1"/>
    <col min="21" max="21" width="9.7109375" style="59" customWidth="1"/>
    <col min="22" max="22" width="7.5703125" style="59" bestFit="1" customWidth="1"/>
    <col min="23" max="23" width="19.85546875" style="59" bestFit="1" customWidth="1"/>
    <col min="24" max="16384" width="11.5703125" style="59"/>
  </cols>
  <sheetData>
    <row r="1" spans="1:24" ht="35.25" customHeight="1" thickBot="1" x14ac:dyDescent="0.25">
      <c r="A1" s="48" t="s">
        <v>64</v>
      </c>
      <c r="B1" s="49" t="s">
        <v>62</v>
      </c>
      <c r="C1" s="50" t="s">
        <v>19</v>
      </c>
      <c r="D1" s="50" t="s">
        <v>72</v>
      </c>
      <c r="E1" s="51" t="s">
        <v>19</v>
      </c>
      <c r="F1" s="50" t="s">
        <v>65</v>
      </c>
      <c r="G1" s="51" t="s">
        <v>19</v>
      </c>
      <c r="H1" s="52" t="s">
        <v>24</v>
      </c>
      <c r="I1" s="53"/>
      <c r="J1" s="53"/>
      <c r="K1" s="53"/>
      <c r="L1" s="54" t="s">
        <v>25</v>
      </c>
      <c r="M1" s="55" t="s">
        <v>71</v>
      </c>
      <c r="N1" s="55" t="s">
        <v>19</v>
      </c>
      <c r="O1" s="55" t="s">
        <v>70</v>
      </c>
      <c r="P1" s="55" t="s">
        <v>19</v>
      </c>
      <c r="Q1" s="55" t="s">
        <v>42</v>
      </c>
      <c r="R1" s="56" t="s">
        <v>19</v>
      </c>
      <c r="S1" s="53"/>
      <c r="T1" s="53"/>
      <c r="U1" s="51" t="s">
        <v>69</v>
      </c>
      <c r="V1" s="51" t="s">
        <v>19</v>
      </c>
      <c r="W1" s="57"/>
      <c r="X1" s="58" t="s">
        <v>24</v>
      </c>
    </row>
    <row r="2" spans="1:24" x14ac:dyDescent="0.2">
      <c r="A2" s="60" t="s">
        <v>26</v>
      </c>
      <c r="B2" s="61">
        <v>0.1</v>
      </c>
      <c r="C2" s="61">
        <f>B2/B3</f>
        <v>2.6315789473684212</v>
      </c>
      <c r="D2" s="61">
        <v>0.3</v>
      </c>
      <c r="E2" s="62">
        <f>D2/D3</f>
        <v>2.7272727272727271</v>
      </c>
      <c r="F2" s="61">
        <v>0.02</v>
      </c>
      <c r="G2" s="62">
        <f>F2/F3</f>
        <v>0.01</v>
      </c>
      <c r="H2" s="157">
        <f>1/(0.11+C2+E2+G2+0.04)</f>
        <v>0.18119711471771399</v>
      </c>
      <c r="I2" s="63"/>
      <c r="J2" s="63"/>
      <c r="K2" s="63"/>
      <c r="L2" s="64" t="s">
        <v>26</v>
      </c>
      <c r="M2" s="65">
        <v>0.1</v>
      </c>
      <c r="N2" s="65">
        <f>M2/M3</f>
        <v>2.7027027027027026</v>
      </c>
      <c r="O2" s="65">
        <v>0.22</v>
      </c>
      <c r="P2" s="65">
        <f>O2/O3</f>
        <v>6.1111111111111107</v>
      </c>
      <c r="Q2" s="65">
        <v>1.2500000000000001E-2</v>
      </c>
      <c r="R2" s="66">
        <f>Q2/Q3</f>
        <v>0.05</v>
      </c>
      <c r="S2" s="63"/>
      <c r="T2" s="63"/>
      <c r="U2" s="57">
        <v>3.5000000000000003E-2</v>
      </c>
      <c r="V2" s="57">
        <f>U2/U3</f>
        <v>0.26923076923076927</v>
      </c>
      <c r="W2" s="57"/>
      <c r="X2" s="158">
        <f>1/(0.1+N2+P2+R2+V2+0.04)</f>
        <v>0.10783944701705228</v>
      </c>
    </row>
    <row r="3" spans="1:24" ht="13.5" thickBot="1" x14ac:dyDescent="0.25">
      <c r="A3" s="60" t="s">
        <v>27</v>
      </c>
      <c r="B3" s="61">
        <f>0.036+0.002</f>
        <v>3.7999999999999999E-2</v>
      </c>
      <c r="C3" s="61"/>
      <c r="D3" s="61">
        <v>0.11</v>
      </c>
      <c r="E3" s="62"/>
      <c r="F3" s="61">
        <v>2</v>
      </c>
      <c r="G3" s="62"/>
      <c r="H3" s="157"/>
      <c r="I3" s="63"/>
      <c r="J3" s="63"/>
      <c r="K3" s="63"/>
      <c r="L3" s="67" t="s">
        <v>27</v>
      </c>
      <c r="M3" s="68">
        <f>0.035+0.002</f>
        <v>3.7000000000000005E-2</v>
      </c>
      <c r="N3" s="68"/>
      <c r="O3" s="68">
        <f>0.035+0.001</f>
        <v>3.6000000000000004E-2</v>
      </c>
      <c r="P3" s="68"/>
      <c r="Q3" s="68">
        <v>0.25</v>
      </c>
      <c r="R3" s="69"/>
      <c r="S3" s="63"/>
      <c r="T3" s="63"/>
      <c r="U3" s="70">
        <f>0.13</f>
        <v>0.13</v>
      </c>
      <c r="V3" s="57"/>
      <c r="W3" s="57"/>
      <c r="X3" s="159"/>
    </row>
    <row r="5" spans="1:24" ht="25.5" x14ac:dyDescent="0.2">
      <c r="A5" s="48"/>
      <c r="B5" s="71" t="s">
        <v>42</v>
      </c>
      <c r="C5" s="50" t="s">
        <v>19</v>
      </c>
      <c r="D5" s="50" t="s">
        <v>62</v>
      </c>
      <c r="E5" s="51" t="s">
        <v>19</v>
      </c>
      <c r="F5" s="50" t="s">
        <v>63</v>
      </c>
      <c r="G5" s="51" t="s">
        <v>19</v>
      </c>
      <c r="H5" s="52" t="s">
        <v>24</v>
      </c>
      <c r="J5" s="53"/>
      <c r="K5" s="53"/>
      <c r="L5" s="48" t="s">
        <v>41</v>
      </c>
      <c r="M5" s="51" t="s">
        <v>39</v>
      </c>
      <c r="N5" s="51" t="s">
        <v>19</v>
      </c>
      <c r="O5" s="51" t="s">
        <v>66</v>
      </c>
      <c r="P5" s="51" t="s">
        <v>19</v>
      </c>
      <c r="Q5" s="51" t="s">
        <v>67</v>
      </c>
      <c r="R5" s="51" t="s">
        <v>19</v>
      </c>
      <c r="S5" s="51"/>
      <c r="T5" s="51"/>
      <c r="U5" s="72" t="s">
        <v>68</v>
      </c>
      <c r="V5" s="57" t="s">
        <v>19</v>
      </c>
      <c r="W5" s="57"/>
      <c r="X5" s="51" t="s">
        <v>24</v>
      </c>
    </row>
    <row r="6" spans="1:24" x14ac:dyDescent="0.2">
      <c r="A6" s="60" t="s">
        <v>26</v>
      </c>
      <c r="B6" s="61">
        <v>0</v>
      </c>
      <c r="C6" s="61">
        <f>B6/B7</f>
        <v>0</v>
      </c>
      <c r="D6" s="61">
        <v>0</v>
      </c>
      <c r="E6" s="62">
        <f>D6/D7</f>
        <v>0</v>
      </c>
      <c r="F6" s="61">
        <v>0.2</v>
      </c>
      <c r="G6" s="62">
        <f>F6/F7</f>
        <v>1.5384615384615385</v>
      </c>
      <c r="H6" s="157">
        <f>1/(0.11+C6+E6+G6+0.04)</f>
        <v>0.592255125284738</v>
      </c>
      <c r="J6" s="63"/>
      <c r="K6" s="63"/>
      <c r="L6" s="60" t="s">
        <v>26</v>
      </c>
      <c r="M6" s="62">
        <v>0.1</v>
      </c>
      <c r="N6" s="62">
        <f>M6/M7</f>
        <v>0.05</v>
      </c>
      <c r="O6" s="62">
        <v>0.34499999999999997</v>
      </c>
      <c r="P6" s="62">
        <f>O6/O7</f>
        <v>8.625</v>
      </c>
      <c r="Q6" s="62">
        <v>0.03</v>
      </c>
      <c r="R6" s="62">
        <f>Q6/Q7</f>
        <v>0.52631578947368418</v>
      </c>
      <c r="S6" s="62"/>
      <c r="T6" s="62"/>
      <c r="U6" s="57">
        <v>0.55000000000000004</v>
      </c>
      <c r="V6" s="57">
        <f>U6/U7</f>
        <v>0.27500000000000002</v>
      </c>
      <c r="W6" s="57"/>
      <c r="X6" s="73">
        <f>1/(0.11+N6+P6+R6+V6+0.04)</f>
        <v>0.10388190267905958</v>
      </c>
    </row>
    <row r="7" spans="1:24" x14ac:dyDescent="0.2">
      <c r="A7" s="60" t="s">
        <v>27</v>
      </c>
      <c r="B7" s="61">
        <v>0.25</v>
      </c>
      <c r="C7" s="61"/>
      <c r="D7" s="61">
        <v>3.7999999999999999E-2</v>
      </c>
      <c r="E7" s="62"/>
      <c r="F7" s="61">
        <v>0.13</v>
      </c>
      <c r="G7" s="62"/>
      <c r="H7" s="157"/>
      <c r="J7" s="63"/>
      <c r="K7" s="63"/>
      <c r="L7" s="60" t="s">
        <v>27</v>
      </c>
      <c r="M7" s="62">
        <v>2</v>
      </c>
      <c r="N7" s="62"/>
      <c r="O7" s="62">
        <f>0.036+0.002+0.002</f>
        <v>0.04</v>
      </c>
      <c r="P7" s="62"/>
      <c r="Q7" s="62">
        <f>0.037+0.02</f>
        <v>5.6999999999999995E-2</v>
      </c>
      <c r="R7" s="62"/>
      <c r="S7" s="62"/>
      <c r="T7" s="62"/>
      <c r="U7" s="57">
        <v>2</v>
      </c>
      <c r="V7" s="57"/>
      <c r="W7" s="57"/>
      <c r="X7" s="74"/>
    </row>
    <row r="8" spans="1:24" ht="13.5" thickBot="1" x14ac:dyDescent="0.25">
      <c r="A8" s="75"/>
      <c r="B8" s="63"/>
      <c r="C8" s="63"/>
      <c r="D8" s="63"/>
      <c r="E8" s="63"/>
      <c r="F8" s="63"/>
      <c r="G8" s="63"/>
      <c r="H8" s="63"/>
      <c r="I8" s="63"/>
      <c r="J8" s="76"/>
    </row>
    <row r="9" spans="1:24" ht="26.25" thickBot="1" x14ac:dyDescent="0.25">
      <c r="A9" s="117" t="s">
        <v>76</v>
      </c>
      <c r="B9" s="111" t="s">
        <v>49</v>
      </c>
      <c r="C9" s="111" t="s">
        <v>50</v>
      </c>
      <c r="D9" s="111" t="s">
        <v>46</v>
      </c>
      <c r="E9" s="111" t="s">
        <v>45</v>
      </c>
      <c r="F9" s="111" t="s">
        <v>47</v>
      </c>
      <c r="G9" s="112" t="s">
        <v>48</v>
      </c>
      <c r="H9" s="77"/>
      <c r="I9" s="77"/>
      <c r="J9" s="100"/>
      <c r="L9" s="78" t="s">
        <v>60</v>
      </c>
      <c r="M9" s="79" t="s">
        <v>42</v>
      </c>
      <c r="N9" s="80" t="s">
        <v>19</v>
      </c>
      <c r="O9" s="80" t="s">
        <v>43</v>
      </c>
      <c r="P9" s="81" t="s">
        <v>19</v>
      </c>
      <c r="Q9" s="82" t="s">
        <v>24</v>
      </c>
      <c r="R9" s="53"/>
      <c r="S9" s="53"/>
      <c r="T9" s="53"/>
      <c r="U9" s="53"/>
      <c r="V9" s="53"/>
    </row>
    <row r="10" spans="1:24" ht="13.5" x14ac:dyDescent="0.2">
      <c r="A10" s="113" t="s">
        <v>74</v>
      </c>
      <c r="B10" s="110">
        <f t="shared" ref="B10:C15" si="0">D10*$F$10</f>
        <v>0.17272727272727273</v>
      </c>
      <c r="C10" s="118">
        <f t="shared" si="0"/>
        <v>0.21590909090909091</v>
      </c>
      <c r="D10" s="110">
        <v>0.2</v>
      </c>
      <c r="E10" s="110">
        <v>0.25</v>
      </c>
      <c r="F10" s="110">
        <f>19/(22-G10)</f>
        <v>0.86363636363636365</v>
      </c>
      <c r="G10" s="116">
        <v>0</v>
      </c>
      <c r="H10" s="77">
        <f>D10*F10</f>
        <v>0.17272727272727273</v>
      </c>
      <c r="I10" s="77"/>
      <c r="J10" s="100"/>
      <c r="L10" s="83" t="s">
        <v>26</v>
      </c>
      <c r="M10" s="61"/>
      <c r="N10" s="61">
        <f>M10/M11</f>
        <v>0</v>
      </c>
      <c r="O10" s="61"/>
      <c r="P10" s="62">
        <f>O10/O11</f>
        <v>0</v>
      </c>
      <c r="Q10" s="160">
        <f>1/(0.11+N10+P10+0.04)</f>
        <v>6.666666666666667</v>
      </c>
      <c r="R10" s="63"/>
      <c r="S10" s="63"/>
      <c r="T10" s="63"/>
      <c r="U10" s="63"/>
      <c r="V10" s="76"/>
    </row>
    <row r="11" spans="1:24" ht="14.25" thickBot="1" x14ac:dyDescent="0.25">
      <c r="A11" s="114" t="s">
        <v>75</v>
      </c>
      <c r="B11" s="88">
        <f t="shared" si="0"/>
        <v>0.17272727272727273</v>
      </c>
      <c r="C11" s="74">
        <f t="shared" si="0"/>
        <v>0.21590909090909091</v>
      </c>
      <c r="D11" s="88">
        <v>0.2</v>
      </c>
      <c r="E11" s="88">
        <v>0.25</v>
      </c>
      <c r="F11" s="110">
        <f t="shared" ref="F11:F15" si="1">19/(22-G11)</f>
        <v>0.86363636363636365</v>
      </c>
      <c r="G11" s="91"/>
      <c r="H11" s="77">
        <f t="shared" ref="H11:H15" si="2">D11*F11</f>
        <v>0.17272727272727273</v>
      </c>
      <c r="I11" s="77"/>
      <c r="J11" s="100"/>
      <c r="L11" s="84" t="s">
        <v>27</v>
      </c>
      <c r="M11" s="85">
        <v>0.25</v>
      </c>
      <c r="N11" s="85"/>
      <c r="O11" s="85">
        <v>0.81</v>
      </c>
      <c r="P11" s="86"/>
      <c r="Q11" s="161"/>
      <c r="R11" s="63"/>
      <c r="S11" s="63"/>
      <c r="T11" s="63"/>
      <c r="U11" s="87"/>
      <c r="V11" s="76"/>
    </row>
    <row r="12" spans="1:24" ht="13.5" x14ac:dyDescent="0.2">
      <c r="A12" s="114" t="s">
        <v>77</v>
      </c>
      <c r="B12" s="88">
        <f t="shared" si="0"/>
        <v>0.17272727272727273</v>
      </c>
      <c r="C12" s="88">
        <f t="shared" si="0"/>
        <v>0.21590909090909091</v>
      </c>
      <c r="D12" s="88">
        <v>0.2</v>
      </c>
      <c r="E12" s="88">
        <v>0.25</v>
      </c>
      <c r="F12" s="110">
        <f t="shared" si="1"/>
        <v>0.86363636363636365</v>
      </c>
      <c r="G12" s="91"/>
      <c r="H12" s="77">
        <f t="shared" si="2"/>
        <v>0.17272727272727273</v>
      </c>
      <c r="K12" s="53"/>
      <c r="L12" s="53"/>
      <c r="M12" s="53"/>
    </row>
    <row r="13" spans="1:24" ht="13.5" x14ac:dyDescent="0.2">
      <c r="A13" s="114" t="s">
        <v>78</v>
      </c>
      <c r="B13" s="88">
        <f t="shared" si="0"/>
        <v>0.5613636363636364</v>
      </c>
      <c r="C13" s="88">
        <f t="shared" si="0"/>
        <v>0.5613636363636364</v>
      </c>
      <c r="D13" s="88">
        <v>0.65</v>
      </c>
      <c r="E13" s="88">
        <v>0.65</v>
      </c>
      <c r="F13" s="110">
        <f t="shared" si="1"/>
        <v>0.86363636363636365</v>
      </c>
      <c r="G13" s="93"/>
      <c r="H13" s="77">
        <f t="shared" si="2"/>
        <v>0.5613636363636364</v>
      </c>
      <c r="K13" s="63"/>
      <c r="L13" s="63"/>
      <c r="M13" s="162"/>
    </row>
    <row r="14" spans="1:24" ht="14.25" thickBot="1" x14ac:dyDescent="0.25">
      <c r="A14" s="114" t="s">
        <v>79</v>
      </c>
      <c r="B14" s="88">
        <f t="shared" si="0"/>
        <v>1.209090909090909</v>
      </c>
      <c r="C14" s="88">
        <f t="shared" si="0"/>
        <v>1.5545454545454547</v>
      </c>
      <c r="D14" s="88">
        <v>1.4</v>
      </c>
      <c r="E14" s="88">
        <v>1.8</v>
      </c>
      <c r="F14" s="110">
        <f t="shared" si="1"/>
        <v>0.86363636363636365</v>
      </c>
      <c r="G14" s="94"/>
      <c r="H14" s="77">
        <f t="shared" si="2"/>
        <v>1.209090909090909</v>
      </c>
      <c r="K14" s="63"/>
      <c r="L14" s="63"/>
      <c r="M14" s="162"/>
    </row>
    <row r="15" spans="1:24" ht="27.75" thickBot="1" x14ac:dyDescent="0.25">
      <c r="A15" s="115" t="s">
        <v>80</v>
      </c>
      <c r="B15" s="98">
        <f t="shared" si="0"/>
        <v>1.7272727272727273</v>
      </c>
      <c r="C15" s="98">
        <f t="shared" si="0"/>
        <v>2.1590909090909092</v>
      </c>
      <c r="D15" s="98">
        <v>2</v>
      </c>
      <c r="E15" s="98">
        <v>2.5</v>
      </c>
      <c r="F15" s="110">
        <f t="shared" si="1"/>
        <v>0.86363636363636365</v>
      </c>
      <c r="G15" s="109"/>
      <c r="H15" s="77">
        <f t="shared" si="2"/>
        <v>1.7272727272727273</v>
      </c>
      <c r="L15" s="54" t="s">
        <v>73</v>
      </c>
      <c r="M15" s="55" t="s">
        <v>71</v>
      </c>
      <c r="N15" s="55" t="s">
        <v>19</v>
      </c>
      <c r="O15" s="55" t="s">
        <v>70</v>
      </c>
      <c r="P15" s="55" t="s">
        <v>19</v>
      </c>
      <c r="Q15" s="55" t="s">
        <v>42</v>
      </c>
      <c r="R15" s="56" t="s">
        <v>19</v>
      </c>
      <c r="S15" s="51" t="s">
        <v>69</v>
      </c>
      <c r="T15" s="51" t="s">
        <v>19</v>
      </c>
      <c r="U15" s="57"/>
      <c r="V15" s="58" t="s">
        <v>24</v>
      </c>
    </row>
    <row r="16" spans="1:24" x14ac:dyDescent="0.2">
      <c r="K16" s="103"/>
      <c r="L16" s="64" t="s">
        <v>26</v>
      </c>
      <c r="M16" s="65">
        <v>0.17499999999999999</v>
      </c>
      <c r="N16" s="65">
        <f>M16/M17</f>
        <v>4.7297297297297289</v>
      </c>
      <c r="O16" s="65">
        <v>0.17499999999999999</v>
      </c>
      <c r="P16" s="65">
        <f>O16/O17</f>
        <v>4.8611111111111098</v>
      </c>
      <c r="Q16" s="65">
        <v>1.2500000000000001E-2</v>
      </c>
      <c r="R16" s="66">
        <f>Q16/Q17</f>
        <v>0.05</v>
      </c>
      <c r="S16" s="57">
        <v>3.5000000000000003E-2</v>
      </c>
      <c r="T16" s="57">
        <f>S16/S17</f>
        <v>0.26923076923076927</v>
      </c>
      <c r="U16" s="57"/>
      <c r="V16" s="158">
        <f>1/(0.1+N16+P16+R16+T16+0.04)</f>
        <v>9.9501778574180216E-2</v>
      </c>
    </row>
    <row r="17" spans="1:24" ht="13.5" thickBot="1" x14ac:dyDescent="0.25">
      <c r="A17" s="59" t="s">
        <v>103</v>
      </c>
      <c r="B17" s="89">
        <v>0.57999999999999996</v>
      </c>
      <c r="C17" s="90" t="s">
        <v>84</v>
      </c>
      <c r="L17" s="67" t="s">
        <v>27</v>
      </c>
      <c r="M17" s="68">
        <f>0.035+0.002</f>
        <v>3.7000000000000005E-2</v>
      </c>
      <c r="N17" s="68"/>
      <c r="O17" s="68">
        <f>0.035+0.001</f>
        <v>3.6000000000000004E-2</v>
      </c>
      <c r="P17" s="68"/>
      <c r="Q17" s="68">
        <v>0.25</v>
      </c>
      <c r="R17" s="69"/>
      <c r="S17" s="70">
        <f>0.13</f>
        <v>0.13</v>
      </c>
      <c r="T17" s="57"/>
      <c r="U17" s="57"/>
      <c r="V17" s="159"/>
    </row>
    <row r="18" spans="1:24" x14ac:dyDescent="0.2">
      <c r="A18" s="59" t="s">
        <v>104</v>
      </c>
      <c r="B18" s="89">
        <v>0.2</v>
      </c>
      <c r="C18" s="90" t="s">
        <v>87</v>
      </c>
      <c r="L18" s="75"/>
      <c r="M18" s="63"/>
      <c r="N18" s="63"/>
      <c r="O18" s="63"/>
      <c r="P18" s="63"/>
      <c r="Q18" s="63"/>
      <c r="R18" s="63"/>
      <c r="S18" s="63"/>
      <c r="T18" s="63"/>
      <c r="U18" s="121"/>
      <c r="X18" s="76"/>
    </row>
    <row r="19" spans="1:24" ht="12.75" customHeight="1" x14ac:dyDescent="0.2">
      <c r="A19" s="92" t="s">
        <v>105</v>
      </c>
      <c r="B19" s="89">
        <v>0.28000000000000003</v>
      </c>
      <c r="C19" s="59" t="s">
        <v>83</v>
      </c>
      <c r="D19" s="90"/>
      <c r="Q19" s="95"/>
      <c r="R19" s="95"/>
      <c r="S19" s="95"/>
      <c r="T19" s="95"/>
      <c r="U19" s="95"/>
      <c r="V19" s="96"/>
    </row>
    <row r="20" spans="1:24" x14ac:dyDescent="0.2">
      <c r="A20" s="92" t="s">
        <v>111</v>
      </c>
      <c r="B20" s="89">
        <v>0.21</v>
      </c>
      <c r="C20" s="59" t="s">
        <v>44</v>
      </c>
      <c r="D20" s="97"/>
      <c r="Q20" s="96"/>
      <c r="R20" s="96"/>
      <c r="S20" s="96"/>
      <c r="T20" s="96"/>
      <c r="U20" s="96"/>
      <c r="V20" s="96"/>
    </row>
    <row r="21" spans="1:24" x14ac:dyDescent="0.2">
      <c r="A21" s="92" t="s">
        <v>90</v>
      </c>
      <c r="B21" s="89">
        <v>0.21</v>
      </c>
      <c r="D21" s="97"/>
      <c r="R21" s="96"/>
      <c r="S21" s="96"/>
      <c r="T21" s="96"/>
      <c r="U21" s="96"/>
      <c r="V21" s="96"/>
    </row>
    <row r="22" spans="1:24" x14ac:dyDescent="0.2">
      <c r="A22" s="59" t="s">
        <v>110</v>
      </c>
      <c r="B22" s="89">
        <v>1.4</v>
      </c>
      <c r="C22" s="59" t="s">
        <v>82</v>
      </c>
      <c r="R22" s="96"/>
      <c r="S22" s="96"/>
      <c r="T22" s="96"/>
      <c r="U22" s="96"/>
      <c r="V22" s="96"/>
    </row>
    <row r="23" spans="1:24" x14ac:dyDescent="0.2">
      <c r="A23" s="59" t="s">
        <v>92</v>
      </c>
      <c r="B23" s="89">
        <v>1.4</v>
      </c>
      <c r="R23" s="96"/>
      <c r="S23" s="96"/>
      <c r="T23" s="96"/>
      <c r="U23" s="96"/>
      <c r="V23" s="96"/>
    </row>
    <row r="24" spans="1:24" x14ac:dyDescent="0.2">
      <c r="A24" s="59" t="s">
        <v>91</v>
      </c>
      <c r="B24" s="89">
        <v>1.4</v>
      </c>
      <c r="R24" s="96"/>
      <c r="S24" s="96"/>
      <c r="T24" s="96"/>
      <c r="U24" s="96"/>
      <c r="V24" s="96"/>
    </row>
    <row r="25" spans="1:24" x14ac:dyDescent="0.2">
      <c r="A25" s="59" t="s">
        <v>22</v>
      </c>
      <c r="B25" s="89">
        <v>2</v>
      </c>
      <c r="R25" s="96"/>
      <c r="S25" s="96"/>
      <c r="T25" s="96"/>
      <c r="U25" s="96"/>
      <c r="V25" s="96"/>
    </row>
    <row r="26" spans="1:24" x14ac:dyDescent="0.2">
      <c r="A26" s="59" t="s">
        <v>106</v>
      </c>
      <c r="B26" s="89">
        <v>0.32</v>
      </c>
      <c r="C26" s="97"/>
      <c r="L26" s="165" t="s">
        <v>96</v>
      </c>
      <c r="M26" s="165"/>
      <c r="N26" s="165"/>
      <c r="O26" s="165"/>
      <c r="P26" s="165"/>
      <c r="Q26" s="165"/>
      <c r="R26" s="165"/>
      <c r="S26" s="165"/>
      <c r="T26" s="165"/>
      <c r="U26" s="165"/>
      <c r="V26" s="96"/>
    </row>
    <row r="27" spans="1:24" ht="13.5" x14ac:dyDescent="0.2">
      <c r="A27" s="59" t="s">
        <v>61</v>
      </c>
      <c r="B27" s="89">
        <v>0.2</v>
      </c>
      <c r="L27" s="48"/>
      <c r="M27" s="71" t="s">
        <v>42</v>
      </c>
      <c r="N27" s="50" t="s">
        <v>19</v>
      </c>
      <c r="O27" s="50" t="s">
        <v>93</v>
      </c>
      <c r="P27" s="51" t="s">
        <v>19</v>
      </c>
      <c r="Q27" s="50" t="s">
        <v>94</v>
      </c>
      <c r="R27" s="51" t="s">
        <v>19</v>
      </c>
      <c r="S27" s="51" t="s">
        <v>95</v>
      </c>
      <c r="T27" s="51" t="s">
        <v>19</v>
      </c>
      <c r="U27" s="51" t="s">
        <v>24</v>
      </c>
      <c r="V27" s="96"/>
    </row>
    <row r="28" spans="1:24" x14ac:dyDescent="0.2">
      <c r="A28" s="59" t="s">
        <v>85</v>
      </c>
      <c r="B28" s="89">
        <v>0.2</v>
      </c>
      <c r="C28" s="59" t="s">
        <v>86</v>
      </c>
      <c r="K28" s="107"/>
      <c r="L28" s="60" t="s">
        <v>26</v>
      </c>
      <c r="M28" s="61">
        <v>2.5000000000000001E-2</v>
      </c>
      <c r="N28" s="61">
        <f>M28/M29</f>
        <v>0.1</v>
      </c>
      <c r="O28" s="61">
        <v>0.05</v>
      </c>
      <c r="P28" s="62">
        <f>O28/O29</f>
        <v>1.2820512820512822</v>
      </c>
      <c r="Q28" s="61">
        <v>0.38</v>
      </c>
      <c r="R28" s="62">
        <f>Q28/Q29</f>
        <v>0.63333333333333341</v>
      </c>
      <c r="S28" s="62">
        <v>0.1</v>
      </c>
      <c r="T28" s="62">
        <f>S28/S29</f>
        <v>2.5641025641025643</v>
      </c>
      <c r="U28" s="164">
        <f>1/(0.11+N28+P28+R28+T28+0.04)</f>
        <v>0.21143941447546757</v>
      </c>
      <c r="V28" s="96"/>
    </row>
    <row r="29" spans="1:24" x14ac:dyDescent="0.2">
      <c r="A29" s="59" t="s">
        <v>81</v>
      </c>
      <c r="B29" s="89">
        <v>0.2</v>
      </c>
      <c r="K29" s="107"/>
      <c r="L29" s="60" t="s">
        <v>27</v>
      </c>
      <c r="M29" s="61">
        <v>0.25</v>
      </c>
      <c r="N29" s="61"/>
      <c r="O29" s="61">
        <v>3.9E-2</v>
      </c>
      <c r="P29" s="62"/>
      <c r="Q29" s="61">
        <v>0.6</v>
      </c>
      <c r="R29" s="62"/>
      <c r="S29" s="62">
        <v>3.9E-2</v>
      </c>
      <c r="T29" s="62"/>
      <c r="U29" s="164"/>
      <c r="V29" s="96"/>
    </row>
    <row r="30" spans="1:24" x14ac:dyDescent="0.2">
      <c r="A30" s="59" t="s">
        <v>89</v>
      </c>
      <c r="B30" s="59">
        <v>0.2</v>
      </c>
      <c r="K30" s="107"/>
      <c r="L30" s="107"/>
      <c r="M30" s="108"/>
      <c r="N30" s="108"/>
      <c r="R30" s="99"/>
      <c r="S30" s="99"/>
      <c r="T30" s="99"/>
      <c r="U30" s="99"/>
      <c r="V30" s="96"/>
    </row>
    <row r="31" spans="1:24" x14ac:dyDescent="0.2">
      <c r="A31" s="59" t="s">
        <v>28</v>
      </c>
      <c r="K31" s="107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</row>
    <row r="32" spans="1:24" x14ac:dyDescent="0.2">
      <c r="A32" s="59" t="s">
        <v>20</v>
      </c>
      <c r="B32" s="59">
        <v>0.05</v>
      </c>
      <c r="K32" s="107"/>
      <c r="L32" s="169" t="s">
        <v>97</v>
      </c>
      <c r="M32" s="169"/>
      <c r="N32" s="169"/>
      <c r="O32" s="169"/>
      <c r="P32" s="169"/>
      <c r="Q32" s="169"/>
      <c r="R32" s="169"/>
      <c r="S32" s="169"/>
      <c r="T32" s="123"/>
      <c r="U32" s="123"/>
      <c r="V32" s="123"/>
      <c r="W32" s="123"/>
      <c r="X32" s="123"/>
    </row>
    <row r="33" spans="1:23" ht="27" customHeight="1" x14ac:dyDescent="0.2">
      <c r="A33" s="59" t="s">
        <v>21</v>
      </c>
      <c r="B33" s="59">
        <v>0</v>
      </c>
      <c r="J33" s="53"/>
      <c r="K33" s="107"/>
      <c r="L33" s="48"/>
      <c r="M33" s="51" t="s">
        <v>98</v>
      </c>
      <c r="N33" s="51" t="s">
        <v>19</v>
      </c>
      <c r="O33" s="51" t="s">
        <v>99</v>
      </c>
      <c r="P33" s="51" t="s">
        <v>19</v>
      </c>
      <c r="Q33" s="51" t="s">
        <v>98</v>
      </c>
      <c r="R33" s="51" t="s">
        <v>19</v>
      </c>
      <c r="S33" s="51" t="s">
        <v>24</v>
      </c>
      <c r="T33" s="53"/>
      <c r="U33" s="53"/>
      <c r="V33" s="53"/>
    </row>
    <row r="34" spans="1:23" x14ac:dyDescent="0.2">
      <c r="A34" s="59" t="s">
        <v>29</v>
      </c>
      <c r="B34" s="59">
        <v>0.05</v>
      </c>
      <c r="J34" s="63"/>
      <c r="K34" s="63"/>
      <c r="L34" s="60" t="s">
        <v>26</v>
      </c>
      <c r="M34" s="62">
        <v>0.05</v>
      </c>
      <c r="N34" s="62">
        <f>M34/M35</f>
        <v>0.05</v>
      </c>
      <c r="O34" s="62">
        <v>0.05</v>
      </c>
      <c r="P34" s="62">
        <f>O34/O35</f>
        <v>1.4285714285714286</v>
      </c>
      <c r="Q34" s="62">
        <v>0.1</v>
      </c>
      <c r="R34" s="62">
        <f>Q34/Q35</f>
        <v>0.1</v>
      </c>
      <c r="S34" s="163">
        <f>1/(0.1+N34+P34+R34+0.04)</f>
        <v>0.58187863674147955</v>
      </c>
      <c r="T34" s="63"/>
    </row>
    <row r="35" spans="1:23" x14ac:dyDescent="0.2">
      <c r="A35" s="59" t="s">
        <v>22</v>
      </c>
      <c r="B35" s="59">
        <v>0</v>
      </c>
      <c r="J35" s="63"/>
      <c r="K35" s="63"/>
      <c r="L35" s="60" t="s">
        <v>27</v>
      </c>
      <c r="M35" s="62">
        <v>1</v>
      </c>
      <c r="N35" s="62"/>
      <c r="O35" s="62">
        <v>3.5000000000000003E-2</v>
      </c>
      <c r="P35" s="62"/>
      <c r="Q35" s="62">
        <v>1</v>
      </c>
      <c r="R35" s="62"/>
      <c r="S35" s="163"/>
      <c r="T35" s="63"/>
      <c r="U35" s="121"/>
    </row>
    <row r="36" spans="1:23" x14ac:dyDescent="0.2">
      <c r="A36" s="59" t="s">
        <v>19</v>
      </c>
      <c r="B36" s="59">
        <v>0.05</v>
      </c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</row>
    <row r="37" spans="1:23" x14ac:dyDescent="0.2">
      <c r="A37" s="59" t="s">
        <v>18</v>
      </c>
      <c r="B37" s="59">
        <v>0.1</v>
      </c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</row>
    <row r="38" spans="1:23" ht="12.75" customHeight="1" x14ac:dyDescent="0.2">
      <c r="A38" s="59" t="s">
        <v>30</v>
      </c>
      <c r="B38" s="59">
        <v>0.1</v>
      </c>
      <c r="L38" s="166" t="s">
        <v>100</v>
      </c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8"/>
    </row>
    <row r="39" spans="1:23" ht="24.75" customHeight="1" x14ac:dyDescent="0.2">
      <c r="A39" s="59" t="s">
        <v>31</v>
      </c>
      <c r="B39" s="59">
        <v>0.1</v>
      </c>
      <c r="L39" s="48"/>
      <c r="M39" s="51" t="s">
        <v>98</v>
      </c>
      <c r="N39" s="51" t="s">
        <v>19</v>
      </c>
      <c r="O39" s="51" t="s">
        <v>99</v>
      </c>
      <c r="P39" s="51" t="s">
        <v>19</v>
      </c>
      <c r="Q39" s="51" t="s">
        <v>98</v>
      </c>
      <c r="R39" s="51" t="s">
        <v>19</v>
      </c>
      <c r="S39" s="125" t="s">
        <v>102</v>
      </c>
      <c r="T39" s="73" t="s">
        <v>19</v>
      </c>
      <c r="U39" s="73" t="s">
        <v>98</v>
      </c>
      <c r="V39" s="73" t="s">
        <v>19</v>
      </c>
      <c r="W39" s="51" t="s">
        <v>24</v>
      </c>
    </row>
    <row r="40" spans="1:23" x14ac:dyDescent="0.2">
      <c r="B40" s="75"/>
      <c r="L40" s="124" t="s">
        <v>26</v>
      </c>
      <c r="M40" s="124">
        <v>0.05</v>
      </c>
      <c r="N40" s="124">
        <f>M40/M41</f>
        <v>0.05</v>
      </c>
      <c r="O40" s="124">
        <v>0.05</v>
      </c>
      <c r="P40" s="124">
        <f>O40/O41</f>
        <v>1.4285714285714286</v>
      </c>
      <c r="Q40" s="124">
        <v>0.1</v>
      </c>
      <c r="R40" s="124">
        <f>Q40/Q41</f>
        <v>0.1</v>
      </c>
      <c r="S40" s="126">
        <v>0.78</v>
      </c>
      <c r="T40" s="124">
        <f>S40/S41</f>
        <v>3.12</v>
      </c>
      <c r="U40" s="124">
        <v>0.1</v>
      </c>
      <c r="V40" s="124">
        <f>U40/U41</f>
        <v>0.1</v>
      </c>
      <c r="W40" s="163">
        <f>1/(0.1+N40+P40+R40+V40+T40+0.04)</f>
        <v>0.20248770610355796</v>
      </c>
    </row>
    <row r="41" spans="1:23" x14ac:dyDescent="0.2">
      <c r="A41" s="59" t="s">
        <v>32</v>
      </c>
      <c r="B41" s="59">
        <v>22</v>
      </c>
      <c r="L41" s="124" t="s">
        <v>27</v>
      </c>
      <c r="M41" s="124">
        <v>1</v>
      </c>
      <c r="N41" s="124"/>
      <c r="O41" s="124">
        <v>3.5000000000000003E-2</v>
      </c>
      <c r="P41" s="124"/>
      <c r="Q41" s="124">
        <v>1</v>
      </c>
      <c r="R41" s="124"/>
      <c r="S41" s="126">
        <v>0.25</v>
      </c>
      <c r="T41" s="124"/>
      <c r="U41" s="124">
        <v>1</v>
      </c>
      <c r="V41" s="124"/>
      <c r="W41" s="163"/>
    </row>
    <row r="42" spans="1:23" ht="13.5" x14ac:dyDescent="0.2">
      <c r="A42" s="59" t="s">
        <v>33</v>
      </c>
      <c r="B42" s="101">
        <v>-21</v>
      </c>
      <c r="C42" s="59" t="s">
        <v>59</v>
      </c>
      <c r="J42" s="100"/>
      <c r="K42" s="53"/>
      <c r="L42" s="53"/>
      <c r="M42" s="53"/>
      <c r="N42" s="122"/>
      <c r="O42" s="122"/>
      <c r="P42" s="122"/>
      <c r="Q42" s="122"/>
      <c r="R42" s="122"/>
      <c r="S42" s="122"/>
      <c r="T42" s="122"/>
      <c r="U42" s="122"/>
      <c r="V42" s="122"/>
      <c r="W42" s="122"/>
    </row>
    <row r="43" spans="1:23" x14ac:dyDescent="0.2">
      <c r="A43" s="59" t="s">
        <v>34</v>
      </c>
      <c r="B43" s="59">
        <v>4</v>
      </c>
      <c r="J43" s="63"/>
      <c r="K43" s="63"/>
      <c r="L43" s="107"/>
      <c r="M43" s="102"/>
      <c r="N43" s="122"/>
      <c r="O43" s="122"/>
      <c r="P43" s="122"/>
      <c r="Q43" s="122"/>
      <c r="R43" s="122"/>
      <c r="S43" s="122"/>
      <c r="T43" s="122"/>
      <c r="U43" s="122"/>
      <c r="V43" s="122"/>
      <c r="W43" s="122"/>
    </row>
    <row r="44" spans="1:23" x14ac:dyDescent="0.2">
      <c r="J44" s="63"/>
      <c r="K44" s="63"/>
      <c r="L44" s="166" t="s">
        <v>101</v>
      </c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8"/>
    </row>
    <row r="45" spans="1:23" ht="23.25" customHeight="1" x14ac:dyDescent="0.2">
      <c r="A45" s="59" t="s">
        <v>35</v>
      </c>
      <c r="B45" s="59">
        <v>203</v>
      </c>
      <c r="J45" s="100"/>
      <c r="K45" s="53"/>
      <c r="L45" s="48"/>
      <c r="M45" s="51" t="s">
        <v>98</v>
      </c>
      <c r="N45" s="51" t="s">
        <v>19</v>
      </c>
      <c r="O45" s="51" t="s">
        <v>99</v>
      </c>
      <c r="P45" s="51" t="s">
        <v>19</v>
      </c>
      <c r="Q45" s="51" t="s">
        <v>98</v>
      </c>
      <c r="R45" s="51" t="s">
        <v>19</v>
      </c>
      <c r="S45" s="125" t="s">
        <v>102</v>
      </c>
      <c r="T45" s="73" t="s">
        <v>19</v>
      </c>
      <c r="U45" s="73" t="s">
        <v>98</v>
      </c>
      <c r="V45" s="73" t="s">
        <v>19</v>
      </c>
      <c r="W45" s="51" t="s">
        <v>24</v>
      </c>
    </row>
    <row r="46" spans="1:23" x14ac:dyDescent="0.2">
      <c r="J46" s="63"/>
      <c r="K46" s="63"/>
      <c r="L46" s="124" t="s">
        <v>26</v>
      </c>
      <c r="M46" s="124">
        <v>0.05</v>
      </c>
      <c r="N46" s="124">
        <f>M46/M47</f>
        <v>0.05</v>
      </c>
      <c r="O46" s="124">
        <v>0.05</v>
      </c>
      <c r="P46" s="124">
        <f>O46/O47</f>
        <v>1.4285714285714286</v>
      </c>
      <c r="Q46" s="124">
        <v>0.1</v>
      </c>
      <c r="R46" s="124">
        <f>Q46/Q47</f>
        <v>0.1</v>
      </c>
      <c r="S46" s="126">
        <v>0.44</v>
      </c>
      <c r="T46" s="126">
        <f>S46/S47</f>
        <v>1.76</v>
      </c>
      <c r="U46" s="126">
        <v>0.1</v>
      </c>
      <c r="V46" s="126">
        <f>U46/U47</f>
        <v>0.1</v>
      </c>
      <c r="W46" s="163">
        <f>1/(0.1+N46+P46+R46+V46+T46+0.04)</f>
        <v>0.279441117764471</v>
      </c>
    </row>
    <row r="47" spans="1:23" ht="13.5" x14ac:dyDescent="0.2">
      <c r="A47" s="59" t="s">
        <v>36</v>
      </c>
      <c r="I47" s="100"/>
      <c r="J47" s="53"/>
      <c r="K47" s="53"/>
      <c r="L47" s="124" t="s">
        <v>27</v>
      </c>
      <c r="M47" s="124">
        <v>1</v>
      </c>
      <c r="N47" s="124"/>
      <c r="O47" s="124">
        <v>3.5000000000000003E-2</v>
      </c>
      <c r="P47" s="124"/>
      <c r="Q47" s="124">
        <v>1</v>
      </c>
      <c r="R47" s="124"/>
      <c r="S47" s="126">
        <v>0.25</v>
      </c>
      <c r="T47" s="126"/>
      <c r="U47" s="126">
        <v>1</v>
      </c>
      <c r="V47" s="126"/>
      <c r="W47" s="163"/>
    </row>
    <row r="48" spans="1:23" x14ac:dyDescent="0.2">
      <c r="A48" s="59" t="s">
        <v>37</v>
      </c>
      <c r="B48" s="59">
        <v>4.5</v>
      </c>
      <c r="C48" s="59" t="s">
        <v>38</v>
      </c>
      <c r="I48" s="75"/>
      <c r="J48" s="63"/>
      <c r="K48" s="63"/>
      <c r="L48" s="107"/>
      <c r="M48" s="107"/>
      <c r="N48" s="107"/>
      <c r="O48" s="107"/>
      <c r="P48" s="76"/>
      <c r="Q48" s="122"/>
      <c r="R48" s="122"/>
      <c r="S48" s="122"/>
      <c r="T48" s="122"/>
      <c r="U48" s="122"/>
      <c r="V48" s="122"/>
      <c r="W48" s="122"/>
    </row>
    <row r="49" spans="9:23" x14ac:dyDescent="0.2">
      <c r="I49" s="75"/>
      <c r="J49" s="63"/>
      <c r="K49" s="63"/>
      <c r="L49" s="63"/>
      <c r="M49" s="63"/>
      <c r="N49" s="63"/>
      <c r="O49" s="63"/>
      <c r="P49" s="76"/>
    </row>
    <row r="50" spans="9:23" x14ac:dyDescent="0.2">
      <c r="L50" s="166" t="s">
        <v>74</v>
      </c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8"/>
    </row>
    <row r="51" spans="9:23" ht="27" customHeight="1" x14ac:dyDescent="0.2">
      <c r="L51" s="48"/>
      <c r="M51" s="51" t="s">
        <v>107</v>
      </c>
      <c r="N51" s="51" t="s">
        <v>19</v>
      </c>
      <c r="O51" s="51" t="s">
        <v>108</v>
      </c>
      <c r="P51" s="51" t="s">
        <v>19</v>
      </c>
      <c r="Q51" s="51" t="s">
        <v>109</v>
      </c>
      <c r="R51" s="51" t="s">
        <v>19</v>
      </c>
      <c r="S51" s="125"/>
      <c r="T51" s="73" t="s">
        <v>19</v>
      </c>
      <c r="U51" s="73"/>
      <c r="V51" s="73" t="s">
        <v>19</v>
      </c>
      <c r="W51" s="51" t="s">
        <v>24</v>
      </c>
    </row>
    <row r="52" spans="9:23" x14ac:dyDescent="0.2">
      <c r="L52" s="124" t="s">
        <v>26</v>
      </c>
      <c r="M52" s="124">
        <v>0.03</v>
      </c>
      <c r="N52" s="124">
        <f>M52/M53</f>
        <v>0.75</v>
      </c>
      <c r="O52" s="124">
        <v>0.08</v>
      </c>
      <c r="P52" s="124">
        <f>O52/O53</f>
        <v>2.1052631578947367</v>
      </c>
      <c r="Q52" s="124">
        <v>0.1</v>
      </c>
      <c r="R52" s="124">
        <f>Q52/Q53</f>
        <v>0.1</v>
      </c>
      <c r="S52" s="126"/>
      <c r="T52" s="124"/>
      <c r="U52" s="124"/>
      <c r="V52" s="124"/>
      <c r="W52" s="163">
        <f>1/(0.1+N52+P52+R52+V52+T52+0.04)</f>
        <v>0.32307430709063084</v>
      </c>
    </row>
    <row r="53" spans="9:23" x14ac:dyDescent="0.2">
      <c r="L53" s="124" t="s">
        <v>27</v>
      </c>
      <c r="M53" s="124">
        <v>0.04</v>
      </c>
      <c r="N53" s="124"/>
      <c r="O53" s="124">
        <v>3.7999999999999999E-2</v>
      </c>
      <c r="P53" s="124"/>
      <c r="Q53" s="124">
        <v>1</v>
      </c>
      <c r="R53" s="124"/>
      <c r="S53" s="126"/>
      <c r="T53" s="124"/>
      <c r="U53" s="124"/>
      <c r="V53" s="124"/>
      <c r="W53" s="163"/>
    </row>
  </sheetData>
  <sheetProtection selectLockedCells="1" selectUnlockedCells="1"/>
  <mergeCells count="16">
    <mergeCell ref="W52:W53"/>
    <mergeCell ref="V16:V17"/>
    <mergeCell ref="U28:U29"/>
    <mergeCell ref="L26:U26"/>
    <mergeCell ref="S34:S35"/>
    <mergeCell ref="L50:W50"/>
    <mergeCell ref="L32:S32"/>
    <mergeCell ref="W40:W41"/>
    <mergeCell ref="W46:W47"/>
    <mergeCell ref="L38:W38"/>
    <mergeCell ref="L44:W44"/>
    <mergeCell ref="H2:H3"/>
    <mergeCell ref="X2:X3"/>
    <mergeCell ref="H6:H7"/>
    <mergeCell ref="Q10:Q11"/>
    <mergeCell ref="M13:M14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Apreķins</vt:lpstr>
      <vt:lpstr>Konstantes</vt:lpstr>
      <vt:lpstr>Apreķins!Excel_BuiltIn__FilterDatabase</vt:lpstr>
      <vt:lpstr>Apreķins!Print_Area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Arnold</dc:creator>
  <cp:lastModifiedBy>Oskars</cp:lastModifiedBy>
  <cp:lastPrinted>2019-03-04T15:24:26Z</cp:lastPrinted>
  <dcterms:created xsi:type="dcterms:W3CDTF">2017-03-25T20:49:32Z</dcterms:created>
  <dcterms:modified xsi:type="dcterms:W3CDTF">2019-03-22T12:02:36Z</dcterms:modified>
</cp:coreProperties>
</file>